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washingtoncorporations-my.sharepoint.com/personal/devin_clary_washcorp_com/Documents/Montana Resources/YDTI/Regulatory Overview/5-Year Bond Review/"/>
    </mc:Choice>
  </mc:AlternateContent>
  <xr:revisionPtr revIDLastSave="0" documentId="8_{61272EED-870F-4E44-AA0E-8460AEF1A98C}" xr6:coauthVersionLast="47" xr6:coauthVersionMax="47" xr10:uidLastSave="{00000000-0000-0000-0000-000000000000}"/>
  <bookViews>
    <workbookView xWindow="-120" yWindow="-120" windowWidth="16440" windowHeight="28440" activeTab="2" xr2:uid="{00000000-000D-0000-FFFF-FFFF00000000}"/>
  </bookViews>
  <sheets>
    <sheet name="Summary" sheetId="1" r:id="rId1"/>
    <sheet name="References" sheetId="11" r:id="rId2"/>
    <sheet name="Inputs" sheetId="7" r:id="rId3"/>
    <sheet name="Rates 2020" sheetId="14" r:id="rId4"/>
    <sheet name="ITEM 1 YDTI Embankment Closure" sheetId="2" r:id="rId5"/>
    <sheet name="ITEM 2 YDTI Beach Closure" sheetId="15" r:id="rId6"/>
    <sheet name="ITEM 3 Exploration" sheetId="12" r:id="rId7"/>
    <sheet name="ITEM 4 WED Water Treatment" sheetId="19" r:id="rId8"/>
    <sheet name="ITEM 5 Post Closure Reclamation" sheetId="6" r:id="rId9"/>
    <sheet name="ITEM 6 Interim Management" sheetId="5" r:id="rId10"/>
    <sheet name="ITEM 7 A&amp;E-ClosureMgmt" sheetId="16" r:id="rId11"/>
    <sheet name="ITEM 8 A&amp;E-PostClosureMgmt" sheetId="17" r:id="rId12"/>
    <sheet name="ITEM 9 Dump Areas" sheetId="20" r:id="rId13"/>
    <sheet name="ITEM 10 Leach Pads" sheetId="21" r:id="rId14"/>
    <sheet name="ITEM 11 Pit" sheetId="22" r:id="rId15"/>
    <sheet name="ITEM 12 Pre-Law Areas" sheetId="23" r:id="rId16"/>
    <sheet name="ITEM 13 Miscellaneous" sheetId="24" r:id="rId17"/>
    <sheet name="ITEM 14 Clearwater Ditch" sheetId="25" r:id="rId18"/>
    <sheet name="ITEM 15 Spillway" sheetId="28" r:id="rId19"/>
  </sheets>
  <definedNames>
    <definedName name="_xlnm.Print_Area" localSheetId="3">'Rates 2020'!$A$1:$L$96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4" i="7" l="1"/>
  <c r="L33" i="17" l="1"/>
  <c r="H104" i="2" l="1"/>
  <c r="I133" i="2" l="1"/>
  <c r="G133" i="2"/>
  <c r="E133" i="2"/>
  <c r="I132" i="2"/>
  <c r="I134" i="2" s="1"/>
  <c r="G132" i="2"/>
  <c r="G134" i="2" s="1"/>
  <c r="F132" i="2"/>
  <c r="E132" i="2"/>
  <c r="E134" i="2" s="1"/>
  <c r="D132" i="2"/>
  <c r="H120" i="2"/>
  <c r="F133" i="2" s="1"/>
  <c r="F134" i="2" s="1"/>
  <c r="D128" i="2"/>
  <c r="D133" i="2" s="1"/>
  <c r="H100" i="2"/>
  <c r="H111" i="2"/>
  <c r="H110" i="2"/>
  <c r="H109" i="2"/>
  <c r="H108" i="2"/>
  <c r="H107" i="2"/>
  <c r="H106" i="2"/>
  <c r="H105" i="2"/>
  <c r="H103" i="2"/>
  <c r="H102" i="2"/>
  <c r="H101" i="2"/>
  <c r="D134" i="2" l="1"/>
  <c r="H112" i="2"/>
  <c r="I157" i="2"/>
  <c r="I154" i="2" l="1"/>
  <c r="I158" i="2" s="1"/>
  <c r="I159" i="2" s="1"/>
  <c r="D109" i="2"/>
  <c r="D108" i="2"/>
  <c r="D107" i="2"/>
  <c r="D106" i="2"/>
  <c r="D105" i="2"/>
  <c r="D104" i="2"/>
  <c r="D103" i="2"/>
  <c r="D102" i="2"/>
  <c r="D101" i="2"/>
  <c r="D112" i="2" l="1"/>
  <c r="G157" i="2" l="1"/>
  <c r="D157" i="2"/>
  <c r="E154" i="2"/>
  <c r="C402" i="20" l="1"/>
  <c r="C405" i="20" s="1"/>
  <c r="C13" i="20"/>
  <c r="B253" i="20"/>
  <c r="D253" i="20" s="1"/>
  <c r="D205" i="20"/>
  <c r="C184" i="20"/>
  <c r="C108" i="20"/>
  <c r="B252" i="20" s="1"/>
  <c r="E31" i="20"/>
  <c r="D27" i="20"/>
  <c r="F547" i="20"/>
  <c r="F545" i="20"/>
  <c r="F559" i="20"/>
  <c r="F561" i="20" s="1"/>
  <c r="F509" i="20"/>
  <c r="F481" i="20"/>
  <c r="F452" i="20"/>
  <c r="F453" i="20" s="1"/>
  <c r="F478" i="20" s="1"/>
  <c r="F482" i="20" s="1"/>
  <c r="F483" i="20" s="1"/>
  <c r="D429" i="20"/>
  <c r="F526" i="20" s="1"/>
  <c r="F529" i="20" s="1"/>
  <c r="C430" i="20"/>
  <c r="F488" i="20" s="1"/>
  <c r="F490" i="20" s="1"/>
  <c r="D252" i="20" l="1"/>
  <c r="D254" i="20" s="1"/>
  <c r="B254" i="20"/>
  <c r="F525" i="20"/>
  <c r="F548" i="20"/>
  <c r="F551" i="20" s="1"/>
  <c r="F562" i="20" s="1"/>
  <c r="B601" i="20" s="1"/>
  <c r="F553" i="20"/>
  <c r="F554" i="20" s="1"/>
  <c r="G77" i="7"/>
  <c r="F75" i="7"/>
  <c r="F72" i="7"/>
  <c r="F77" i="7" s="1"/>
  <c r="C340" i="20" l="1"/>
  <c r="F647" i="20"/>
  <c r="F650" i="20" s="1"/>
  <c r="F673" i="20"/>
  <c r="F564" i="20"/>
  <c r="F565" i="20" s="1"/>
  <c r="F568" i="20" s="1"/>
  <c r="F552" i="20"/>
  <c r="F557" i="20" s="1"/>
  <c r="F528" i="20"/>
  <c r="F530" i="20" s="1"/>
  <c r="F531" i="20" s="1"/>
  <c r="B605" i="20"/>
  <c r="D691" i="20"/>
  <c r="D693" i="20" s="1"/>
  <c r="D695" i="20" s="1"/>
  <c r="H635" i="20"/>
  <c r="E547" i="20"/>
  <c r="E545" i="20"/>
  <c r="D547" i="20"/>
  <c r="D545" i="20"/>
  <c r="E559" i="20"/>
  <c r="E561" i="20" s="1"/>
  <c r="D559" i="20"/>
  <c r="D561" i="20" s="1"/>
  <c r="C559" i="20"/>
  <c r="E525" i="20"/>
  <c r="E528" i="20" s="1"/>
  <c r="C525" i="20"/>
  <c r="C528" i="20" s="1"/>
  <c r="E488" i="20"/>
  <c r="E490" i="20" s="1"/>
  <c r="C488" i="20"/>
  <c r="D424" i="20"/>
  <c r="D423" i="20"/>
  <c r="C526" i="20" s="1"/>
  <c r="C529" i="20" s="1"/>
  <c r="D426" i="20"/>
  <c r="D526" i="20" s="1"/>
  <c r="D529" i="20" s="1"/>
  <c r="D530" i="20" s="1"/>
  <c r="D531" i="20" s="1"/>
  <c r="D533" i="20" s="1"/>
  <c r="D427" i="20"/>
  <c r="E526" i="20" s="1"/>
  <c r="E529" i="20" s="1"/>
  <c r="E509" i="20"/>
  <c r="D509" i="20"/>
  <c r="E481" i="20"/>
  <c r="D481" i="20"/>
  <c r="E452" i="20"/>
  <c r="E453" i="20" s="1"/>
  <c r="E478" i="20" s="1"/>
  <c r="E482" i="20" s="1"/>
  <c r="E483" i="20" s="1"/>
  <c r="D452" i="20"/>
  <c r="D453" i="20" s="1"/>
  <c r="D478" i="20" s="1"/>
  <c r="D482" i="20" s="1"/>
  <c r="D483" i="20" s="1"/>
  <c r="D697" i="20" l="1"/>
  <c r="C26" i="20"/>
  <c r="C27" i="20" s="1"/>
  <c r="F675" i="20"/>
  <c r="G691" i="20"/>
  <c r="G693" i="20" s="1"/>
  <c r="G695" i="20" s="1"/>
  <c r="G26" i="20" s="1"/>
  <c r="F569" i="20"/>
  <c r="E602" i="20" s="1"/>
  <c r="F533" i="20"/>
  <c r="F636" i="20"/>
  <c r="F635" i="20"/>
  <c r="F634" i="20"/>
  <c r="F637" i="20"/>
  <c r="E548" i="20"/>
  <c r="E551" i="20" s="1"/>
  <c r="E562" i="20" s="1"/>
  <c r="E564" i="20" s="1"/>
  <c r="E565" i="20" s="1"/>
  <c r="E568" i="20" s="1"/>
  <c r="D635" i="20"/>
  <c r="D636" i="20"/>
  <c r="D637" i="20"/>
  <c r="D647" i="20"/>
  <c r="E647" i="20"/>
  <c r="D548" i="20"/>
  <c r="D551" i="20" s="1"/>
  <c r="D562" i="20" s="1"/>
  <c r="D564" i="20" s="1"/>
  <c r="D565" i="20" s="1"/>
  <c r="D568" i="20" s="1"/>
  <c r="D569" i="20" s="1"/>
  <c r="E582" i="20" s="1"/>
  <c r="D634" i="20"/>
  <c r="C647" i="20"/>
  <c r="C673" i="20" s="1"/>
  <c r="C691" i="20" s="1"/>
  <c r="E553" i="20"/>
  <c r="E554" i="20" s="1"/>
  <c r="B592" i="20" s="1"/>
  <c r="D553" i="20"/>
  <c r="D554" i="20" s="1"/>
  <c r="B583" i="20" s="1"/>
  <c r="E530" i="20"/>
  <c r="E531" i="20" s="1"/>
  <c r="C530" i="20"/>
  <c r="C531" i="20" s="1"/>
  <c r="B48" i="20"/>
  <c r="C48" i="20"/>
  <c r="D48" i="20"/>
  <c r="E48" i="20"/>
  <c r="F48" i="20"/>
  <c r="B66" i="20"/>
  <c r="B65" i="20"/>
  <c r="B64" i="20"/>
  <c r="B63" i="20"/>
  <c r="B62" i="20"/>
  <c r="B77" i="20" s="1"/>
  <c r="E385" i="20" s="1"/>
  <c r="E387" i="20" s="1"/>
  <c r="E412" i="20" s="1"/>
  <c r="B61" i="20"/>
  <c r="B76" i="20" s="1"/>
  <c r="D385" i="20" s="1"/>
  <c r="D387" i="20" s="1"/>
  <c r="D412" i="20" s="1"/>
  <c r="B60" i="20"/>
  <c r="B74" i="20" s="1"/>
  <c r="B59" i="20"/>
  <c r="B75" i="20" s="1"/>
  <c r="C385" i="20" s="1"/>
  <c r="B58" i="20"/>
  <c r="B73" i="20" s="1"/>
  <c r="B57" i="20"/>
  <c r="B56" i="20"/>
  <c r="B55" i="20"/>
  <c r="J18" i="1"/>
  <c r="E49" i="20"/>
  <c r="B62" i="24"/>
  <c r="D33" i="24"/>
  <c r="E53" i="24"/>
  <c r="E52" i="24"/>
  <c r="F98" i="23"/>
  <c r="F67" i="23"/>
  <c r="F38" i="23"/>
  <c r="F37" i="23"/>
  <c r="F36" i="23"/>
  <c r="E285" i="24"/>
  <c r="C16" i="20" l="1"/>
  <c r="C17" i="20" s="1"/>
  <c r="D416" i="20"/>
  <c r="D16" i="20"/>
  <c r="D17" i="20" s="1"/>
  <c r="E416" i="20"/>
  <c r="F611" i="20"/>
  <c r="F612" i="20" s="1"/>
  <c r="F665" i="20"/>
  <c r="F666" i="20" s="1"/>
  <c r="F660" i="20"/>
  <c r="F661" i="20" s="1"/>
  <c r="E601" i="20"/>
  <c r="E604" i="20"/>
  <c r="F638" i="20"/>
  <c r="E600" i="20"/>
  <c r="E603" i="20"/>
  <c r="E552" i="20"/>
  <c r="E557" i="20" s="1"/>
  <c r="D638" i="20"/>
  <c r="E586" i="20"/>
  <c r="D660" i="20"/>
  <c r="D661" i="20" s="1"/>
  <c r="D665" i="20"/>
  <c r="D666" i="20" s="1"/>
  <c r="E585" i="20"/>
  <c r="E584" i="20"/>
  <c r="D611" i="20"/>
  <c r="D612" i="20" s="1"/>
  <c r="B596" i="20"/>
  <c r="D673" i="20"/>
  <c r="D650" i="20"/>
  <c r="B587" i="20"/>
  <c r="E583" i="20"/>
  <c r="C533" i="20"/>
  <c r="C634" i="20"/>
  <c r="C636" i="20"/>
  <c r="C635" i="20"/>
  <c r="C637" i="20"/>
  <c r="D552" i="20"/>
  <c r="D557" i="20" s="1"/>
  <c r="E569" i="20"/>
  <c r="E650" i="20"/>
  <c r="E673" i="20"/>
  <c r="E533" i="20"/>
  <c r="E634" i="20"/>
  <c r="E635" i="20"/>
  <c r="E637" i="20"/>
  <c r="E636" i="20"/>
  <c r="B50" i="20"/>
  <c r="B216" i="24"/>
  <c r="C230" i="24"/>
  <c r="C232" i="24" s="1"/>
  <c r="C218" i="24"/>
  <c r="C216" i="24"/>
  <c r="B218" i="24"/>
  <c r="B219" i="24" s="1"/>
  <c r="B152" i="24"/>
  <c r="B230" i="24"/>
  <c r="B66" i="24"/>
  <c r="B125" i="24" s="1"/>
  <c r="F341" i="24" s="1"/>
  <c r="F343" i="24" s="1"/>
  <c r="F345" i="24" s="1"/>
  <c r="D29" i="24" s="1"/>
  <c r="B65" i="24"/>
  <c r="B113" i="24" s="1"/>
  <c r="B114" i="24" s="1"/>
  <c r="B115" i="24" s="1"/>
  <c r="B64" i="24"/>
  <c r="B101" i="24" s="1"/>
  <c r="D341" i="24" s="1"/>
  <c r="D343" i="24" s="1"/>
  <c r="D345" i="24" s="1"/>
  <c r="D21" i="24" s="1"/>
  <c r="B63" i="24"/>
  <c r="B93" i="24" s="1"/>
  <c r="B80" i="24"/>
  <c r="B81" i="24" s="1"/>
  <c r="B82" i="24" s="1"/>
  <c r="B83" i="24" s="1"/>
  <c r="J26" i="1"/>
  <c r="E18" i="22"/>
  <c r="J22" i="1" s="1"/>
  <c r="E25" i="22"/>
  <c r="B26" i="22"/>
  <c r="J20" i="1"/>
  <c r="E15" i="21"/>
  <c r="E32" i="17"/>
  <c r="G10" i="6"/>
  <c r="F219" i="6"/>
  <c r="F218" i="6"/>
  <c r="F217" i="6"/>
  <c r="F216" i="6"/>
  <c r="F215" i="6"/>
  <c r="F220" i="6"/>
  <c r="E220" i="6"/>
  <c r="E219" i="6"/>
  <c r="E218" i="6"/>
  <c r="E217" i="6"/>
  <c r="E216" i="6"/>
  <c r="E215" i="6"/>
  <c r="E155" i="6"/>
  <c r="E153" i="6"/>
  <c r="E152" i="6"/>
  <c r="E154" i="6"/>
  <c r="E151" i="6"/>
  <c r="C44" i="6"/>
  <c r="G35" i="6"/>
  <c r="J42" i="1" s="1"/>
  <c r="J49" i="1" s="1"/>
  <c r="F43" i="6"/>
  <c r="E157" i="2"/>
  <c r="G154" i="2"/>
  <c r="C66" i="12"/>
  <c r="C67" i="12" s="1"/>
  <c r="G10" i="12" s="1"/>
  <c r="E22" i="15"/>
  <c r="J9" i="1" s="1"/>
  <c r="E20" i="2"/>
  <c r="J7" i="1" s="1"/>
  <c r="E158" i="2" l="1"/>
  <c r="E159" i="2" s="1"/>
  <c r="J29" i="1"/>
  <c r="J51" i="1" s="1"/>
  <c r="E605" i="20"/>
  <c r="E675" i="20"/>
  <c r="F691" i="20"/>
  <c r="F693" i="20" s="1"/>
  <c r="F695" i="20" s="1"/>
  <c r="F26" i="20" s="1"/>
  <c r="D675" i="20"/>
  <c r="E691" i="20"/>
  <c r="E693" i="20" s="1"/>
  <c r="E695" i="20" s="1"/>
  <c r="E26" i="20" s="1"/>
  <c r="E660" i="20"/>
  <c r="E661" i="20" s="1"/>
  <c r="E611" i="20"/>
  <c r="E612" i="20" s="1"/>
  <c r="E665" i="20"/>
  <c r="E666" i="20" s="1"/>
  <c r="E595" i="20"/>
  <c r="E591" i="20"/>
  <c r="E594" i="20"/>
  <c r="E593" i="20"/>
  <c r="E592" i="20"/>
  <c r="E638" i="20"/>
  <c r="C638" i="20"/>
  <c r="C134" i="24"/>
  <c r="C136" i="24" s="1"/>
  <c r="C341" i="24"/>
  <c r="C343" i="24" s="1"/>
  <c r="C345" i="24" s="1"/>
  <c r="D18" i="24" s="1"/>
  <c r="C219" i="24"/>
  <c r="C222" i="24" s="1"/>
  <c r="C223" i="24" s="1"/>
  <c r="C228" i="24" s="1"/>
  <c r="C224" i="24"/>
  <c r="C225" i="24" s="1"/>
  <c r="B116" i="24"/>
  <c r="E341" i="24" s="1"/>
  <c r="E343" i="24" s="1"/>
  <c r="E345" i="24" s="1"/>
  <c r="D26" i="24" s="1"/>
  <c r="B84" i="24"/>
  <c r="B341" i="24" s="1"/>
  <c r="F221" i="6"/>
  <c r="E221" i="6"/>
  <c r="D215" i="6"/>
  <c r="D216" i="6" s="1"/>
  <c r="D217" i="6" s="1"/>
  <c r="D218" i="6" s="1"/>
  <c r="D219" i="6" s="1"/>
  <c r="D220" i="6" s="1"/>
  <c r="F155" i="6"/>
  <c r="G158" i="2"/>
  <c r="G159" i="2" s="1"/>
  <c r="F81" i="12"/>
  <c r="B133" i="22"/>
  <c r="E20" i="21"/>
  <c r="B21" i="21"/>
  <c r="B181" i="21"/>
  <c r="B167" i="21"/>
  <c r="B141" i="21"/>
  <c r="B63" i="21"/>
  <c r="B41" i="21"/>
  <c r="D81" i="15"/>
  <c r="E12" i="15"/>
  <c r="C28" i="15"/>
  <c r="F27" i="15"/>
  <c r="F181" i="2"/>
  <c r="E596" i="20" l="1"/>
  <c r="C323" i="24"/>
  <c r="C325" i="24" s="1"/>
  <c r="C297" i="24"/>
  <c r="C300" i="24" s="1"/>
  <c r="B297" i="24"/>
  <c r="B300" i="24" s="1"/>
  <c r="B323" i="24"/>
  <c r="C233" i="24"/>
  <c r="B134" i="24"/>
  <c r="B136" i="24" s="1"/>
  <c r="B201" i="24"/>
  <c r="B203" i="24" s="1"/>
  <c r="D134" i="24"/>
  <c r="D136" i="24" s="1"/>
  <c r="C201" i="24"/>
  <c r="C203" i="24" s="1"/>
  <c r="C204" i="24" s="1"/>
  <c r="B173" i="22"/>
  <c r="B159" i="22"/>
  <c r="B42" i="22"/>
  <c r="D234" i="6"/>
  <c r="D355" i="6" s="1"/>
  <c r="D358" i="6" s="1"/>
  <c r="E360" i="6" s="1"/>
  <c r="C377" i="2"/>
  <c r="D375" i="2"/>
  <c r="C286" i="2"/>
  <c r="C284" i="2"/>
  <c r="D284" i="2"/>
  <c r="E284" i="2"/>
  <c r="D286" i="2"/>
  <c r="E300" i="2"/>
  <c r="D300" i="2"/>
  <c r="F298" i="2"/>
  <c r="E286" i="2"/>
  <c r="C269" i="2"/>
  <c r="C271" i="2" s="1"/>
  <c r="D269" i="2"/>
  <c r="D271" i="2" s="1"/>
  <c r="E255" i="2"/>
  <c r="H255" i="2"/>
  <c r="H252" i="2"/>
  <c r="M255" i="2"/>
  <c r="I250" i="2"/>
  <c r="M250" i="2" s="1"/>
  <c r="F250" i="2"/>
  <c r="F251" i="2"/>
  <c r="I252" i="2"/>
  <c r="M252" i="2" s="1"/>
  <c r="C252" i="2"/>
  <c r="E252" i="2" s="1"/>
  <c r="C253" i="2"/>
  <c r="E253" i="2" s="1"/>
  <c r="F253" i="2"/>
  <c r="H253" i="2" s="1"/>
  <c r="I253" i="2"/>
  <c r="M253" i="2" s="1"/>
  <c r="F254" i="2"/>
  <c r="C254" i="2"/>
  <c r="I254" i="2"/>
  <c r="K254" i="2" s="1"/>
  <c r="K256" i="2" s="1"/>
  <c r="E268" i="2" s="1"/>
  <c r="E269" i="2" s="1"/>
  <c r="E271" i="2" s="1"/>
  <c r="I251" i="2"/>
  <c r="M251" i="2" s="1"/>
  <c r="C251" i="2"/>
  <c r="C250" i="2"/>
  <c r="C229" i="2"/>
  <c r="D227" i="2"/>
  <c r="D229" i="2" s="1"/>
  <c r="E204" i="2"/>
  <c r="E206" i="2" s="1"/>
  <c r="E203" i="2"/>
  <c r="D204" i="2"/>
  <c r="D206" i="2" s="1"/>
  <c r="D203" i="2"/>
  <c r="C203" i="2"/>
  <c r="C204" i="2"/>
  <c r="C286" i="24" l="1"/>
  <c r="C285" i="24"/>
  <c r="C284" i="24"/>
  <c r="C287" i="24"/>
  <c r="C235" i="24"/>
  <c r="C236" i="24" s="1"/>
  <c r="C239" i="24" s="1"/>
  <c r="C240" i="24" s="1"/>
  <c r="B254" i="24"/>
  <c r="C206" i="24"/>
  <c r="B204" i="24"/>
  <c r="D340" i="6"/>
  <c r="D314" i="6"/>
  <c r="D317" i="6" s="1"/>
  <c r="D236" i="6"/>
  <c r="C287" i="2"/>
  <c r="C290" i="2" s="1"/>
  <c r="C301" i="2" s="1"/>
  <c r="C303" i="2" s="1"/>
  <c r="C256" i="2"/>
  <c r="E287" i="2"/>
  <c r="E290" i="2" s="1"/>
  <c r="E301" i="2" s="1"/>
  <c r="C292" i="2"/>
  <c r="C293" i="2" s="1"/>
  <c r="E292" i="2"/>
  <c r="E293" i="2" s="1"/>
  <c r="H256" i="2"/>
  <c r="D261" i="2" s="1"/>
  <c r="D262" i="2" s="1"/>
  <c r="F256" i="2"/>
  <c r="E267" i="2"/>
  <c r="I256" i="2"/>
  <c r="E256" i="2"/>
  <c r="M254" i="2"/>
  <c r="M256" i="2" s="1"/>
  <c r="E261" i="2" s="1"/>
  <c r="E262" i="2" s="1"/>
  <c r="F45" i="2"/>
  <c r="F44" i="2"/>
  <c r="G44" i="2"/>
  <c r="C44" i="2"/>
  <c r="C46" i="2" s="1"/>
  <c r="C262" i="24" l="1"/>
  <c r="C263" i="24" s="1"/>
  <c r="C310" i="24"/>
  <c r="C311" i="24" s="1"/>
  <c r="C315" i="24"/>
  <c r="C316" i="24" s="1"/>
  <c r="B287" i="24"/>
  <c r="B284" i="24"/>
  <c r="B286" i="24"/>
  <c r="B285" i="24"/>
  <c r="C288" i="24"/>
  <c r="E257" i="24"/>
  <c r="E256" i="24"/>
  <c r="E255" i="24"/>
  <c r="E253" i="24"/>
  <c r="E254" i="24"/>
  <c r="B258" i="24"/>
  <c r="B206" i="24"/>
  <c r="D260" i="2"/>
  <c r="D464" i="2"/>
  <c r="D466" i="2" s="1"/>
  <c r="D436" i="2"/>
  <c r="D439" i="2" s="1"/>
  <c r="D480" i="2"/>
  <c r="D482" i="2" s="1"/>
  <c r="D484" i="2" s="1"/>
  <c r="D16" i="2" s="1"/>
  <c r="C260" i="2"/>
  <c r="C464" i="2"/>
  <c r="C466" i="2" s="1"/>
  <c r="C436" i="2"/>
  <c r="C439" i="2" s="1"/>
  <c r="C480" i="2"/>
  <c r="C482" i="2" s="1"/>
  <c r="E260" i="2"/>
  <c r="E464" i="2"/>
  <c r="E466" i="2" s="1"/>
  <c r="E436" i="2"/>
  <c r="E439" i="2" s="1"/>
  <c r="E480" i="2"/>
  <c r="E482" i="2" s="1"/>
  <c r="E484" i="2" s="1"/>
  <c r="E16" i="2" s="1"/>
  <c r="E426" i="2"/>
  <c r="E425" i="2"/>
  <c r="E424" i="2"/>
  <c r="E423" i="2"/>
  <c r="D264" i="2"/>
  <c r="D423" i="2"/>
  <c r="E291" i="2"/>
  <c r="E296" i="2" s="1"/>
  <c r="C291" i="2"/>
  <c r="C296" i="2" s="1"/>
  <c r="C304" i="2"/>
  <c r="C307" i="2" s="1"/>
  <c r="B314" i="2"/>
  <c r="E303" i="2"/>
  <c r="E304" i="2" s="1"/>
  <c r="E307" i="2" s="1"/>
  <c r="E308" i="2" s="1"/>
  <c r="E451" i="2" s="1"/>
  <c r="E456" i="2" s="1"/>
  <c r="B332" i="2"/>
  <c r="C261" i="2"/>
  <c r="C262" i="2" s="1"/>
  <c r="E264" i="2"/>
  <c r="C72" i="7"/>
  <c r="G72" i="7"/>
  <c r="D72" i="7"/>
  <c r="E72" i="7"/>
  <c r="C343" i="2" l="1"/>
  <c r="C344" i="2" s="1"/>
  <c r="B288" i="24"/>
  <c r="E258" i="24"/>
  <c r="E343" i="2"/>
  <c r="E344" i="2" s="1"/>
  <c r="C484" i="2"/>
  <c r="C16" i="2" s="1"/>
  <c r="C426" i="2"/>
  <c r="C425" i="2"/>
  <c r="C424" i="2"/>
  <c r="C423" i="2"/>
  <c r="E334" i="2"/>
  <c r="E333" i="2"/>
  <c r="E335" i="2"/>
  <c r="E331" i="2"/>
  <c r="E332" i="2"/>
  <c r="B336" i="2"/>
  <c r="C264" i="2"/>
  <c r="C308" i="2"/>
  <c r="C451" i="2" l="1"/>
  <c r="C456" i="2" s="1"/>
  <c r="E314" i="2"/>
  <c r="E316" i="2"/>
  <c r="E315" i="2"/>
  <c r="E313" i="2"/>
  <c r="E317" i="2"/>
  <c r="D63" i="21"/>
  <c r="B80" i="21"/>
  <c r="B43" i="21"/>
  <c r="E318" i="2" l="1"/>
  <c r="G79" i="14"/>
  <c r="H78" i="14"/>
  <c r="F78" i="14"/>
  <c r="G77" i="14"/>
  <c r="H77" i="14" s="1"/>
  <c r="F77" i="14"/>
  <c r="G73" i="14"/>
  <c r="H73" i="14" s="1"/>
  <c r="F73" i="14"/>
  <c r="G70" i="14"/>
  <c r="H70" i="14" s="1"/>
  <c r="F70" i="14"/>
  <c r="G69" i="14"/>
  <c r="H69" i="14" s="1"/>
  <c r="F69" i="14"/>
  <c r="G68" i="14"/>
  <c r="F68" i="14"/>
  <c r="G67" i="14"/>
  <c r="H67" i="14" s="1"/>
  <c r="F67" i="14"/>
  <c r="G66" i="14"/>
  <c r="H66" i="14" s="1"/>
  <c r="F66" i="14"/>
  <c r="G65" i="14"/>
  <c r="F65" i="14"/>
  <c r="G64" i="14"/>
  <c r="H64" i="14" s="1"/>
  <c r="F64" i="14"/>
  <c r="G63" i="14"/>
  <c r="H63" i="14" s="1"/>
  <c r="F63" i="14"/>
  <c r="G62" i="14"/>
  <c r="H62" i="14" s="1"/>
  <c r="F62" i="14"/>
  <c r="G58" i="14"/>
  <c r="F58" i="14"/>
  <c r="G57" i="14"/>
  <c r="H57" i="14" s="1"/>
  <c r="F57" i="14"/>
  <c r="I57" i="14" s="1"/>
  <c r="J57" i="14" s="1"/>
  <c r="K57" i="14" s="1"/>
  <c r="G56" i="14"/>
  <c r="H56" i="14" s="1"/>
  <c r="F56" i="14"/>
  <c r="G52" i="14"/>
  <c r="H52" i="14" s="1"/>
  <c r="F52" i="14"/>
  <c r="G51" i="14"/>
  <c r="F51" i="14"/>
  <c r="G50" i="14"/>
  <c r="H50" i="14" s="1"/>
  <c r="F50" i="14"/>
  <c r="G46" i="14"/>
  <c r="H46" i="14" s="1"/>
  <c r="F46" i="14"/>
  <c r="G45" i="14"/>
  <c r="H45" i="14" s="1"/>
  <c r="F45" i="14"/>
  <c r="G44" i="14"/>
  <c r="H44" i="14" s="1"/>
  <c r="F44" i="14"/>
  <c r="G43" i="14"/>
  <c r="H43" i="14" s="1"/>
  <c r="F43" i="14"/>
  <c r="G39" i="14"/>
  <c r="H39" i="14" s="1"/>
  <c r="F39" i="14"/>
  <c r="G38" i="14"/>
  <c r="F38" i="14"/>
  <c r="G37" i="14"/>
  <c r="H37" i="14" s="1"/>
  <c r="F37" i="14"/>
  <c r="G33" i="14"/>
  <c r="H33" i="14" s="1"/>
  <c r="F33" i="14"/>
  <c r="I33" i="14" s="1"/>
  <c r="J33" i="14" s="1"/>
  <c r="G32" i="14"/>
  <c r="F32" i="14"/>
  <c r="G31" i="14"/>
  <c r="H31" i="14" s="1"/>
  <c r="F31" i="14"/>
  <c r="G30" i="14"/>
  <c r="H30" i="14" s="1"/>
  <c r="F30" i="14"/>
  <c r="G29" i="14"/>
  <c r="H29" i="14" s="1"/>
  <c r="F29" i="14"/>
  <c r="G28" i="14"/>
  <c r="H28" i="14" s="1"/>
  <c r="F28" i="14"/>
  <c r="G27" i="14"/>
  <c r="H27" i="14" s="1"/>
  <c r="F27" i="14"/>
  <c r="G22" i="14"/>
  <c r="H22" i="14" s="1"/>
  <c r="F22" i="14"/>
  <c r="G21" i="14"/>
  <c r="F21" i="14"/>
  <c r="G20" i="14"/>
  <c r="H20" i="14" s="1"/>
  <c r="F20" i="14"/>
  <c r="G19" i="14"/>
  <c r="H19" i="14" s="1"/>
  <c r="F19" i="14"/>
  <c r="G15" i="14"/>
  <c r="H15" i="14" s="1"/>
  <c r="F15" i="14"/>
  <c r="G14" i="14"/>
  <c r="F14" i="14"/>
  <c r="G13" i="14"/>
  <c r="H13" i="14" s="1"/>
  <c r="F13" i="14"/>
  <c r="G12" i="14"/>
  <c r="H12" i="14" s="1"/>
  <c r="F12" i="14"/>
  <c r="G11" i="14"/>
  <c r="B137" i="24" s="1"/>
  <c r="B139" i="24" s="1"/>
  <c r="D9" i="24" s="1"/>
  <c r="F11" i="14"/>
  <c r="G10" i="14"/>
  <c r="F10" i="14"/>
  <c r="I50" i="14" l="1"/>
  <c r="J50" i="14" s="1"/>
  <c r="K50" i="14" s="1"/>
  <c r="I63" i="14"/>
  <c r="J63" i="14" s="1"/>
  <c r="I30" i="14"/>
  <c r="J30" i="14" s="1"/>
  <c r="K30" i="14" s="1"/>
  <c r="I56" i="14"/>
  <c r="J56" i="14" s="1"/>
  <c r="D335" i="2" s="1"/>
  <c r="I62" i="14"/>
  <c r="J62" i="14" s="1"/>
  <c r="K62" i="14" s="1"/>
  <c r="D326" i="2"/>
  <c r="I39" i="14"/>
  <c r="J39" i="14" s="1"/>
  <c r="K39" i="14" s="1"/>
  <c r="I70" i="14"/>
  <c r="J70" i="14" s="1"/>
  <c r="I31" i="14"/>
  <c r="J31" i="14" s="1"/>
  <c r="I66" i="14"/>
  <c r="J66" i="14" s="1"/>
  <c r="I52" i="14"/>
  <c r="J52" i="14" s="1"/>
  <c r="K52" i="14" s="1"/>
  <c r="I15" i="14"/>
  <c r="J15" i="14" s="1"/>
  <c r="K15" i="14" s="1"/>
  <c r="I27" i="14"/>
  <c r="J27" i="14" s="1"/>
  <c r="I37" i="14"/>
  <c r="J37" i="14" s="1"/>
  <c r="K37" i="14" s="1"/>
  <c r="I46" i="14"/>
  <c r="J46" i="14" s="1"/>
  <c r="I64" i="14"/>
  <c r="J64" i="14" s="1"/>
  <c r="K64" i="14" s="1"/>
  <c r="I69" i="14"/>
  <c r="J69" i="14" s="1"/>
  <c r="I29" i="14"/>
  <c r="J29" i="14" s="1"/>
  <c r="K29" i="14" s="1"/>
  <c r="I73" i="14"/>
  <c r="J73" i="14" s="1"/>
  <c r="H11" i="14"/>
  <c r="H32" i="14"/>
  <c r="I32" i="14" s="1"/>
  <c r="J32" i="14" s="1"/>
  <c r="H38" i="14"/>
  <c r="I38" i="14" s="1"/>
  <c r="J38" i="14" s="1"/>
  <c r="K38" i="14" s="1"/>
  <c r="I44" i="14"/>
  <c r="J44" i="14" s="1"/>
  <c r="K44" i="14" s="1"/>
  <c r="I22" i="14"/>
  <c r="J22" i="14" s="1"/>
  <c r="I28" i="14"/>
  <c r="J28" i="14" s="1"/>
  <c r="K28" i="14" s="1"/>
  <c r="I78" i="14"/>
  <c r="J78" i="14" s="1"/>
  <c r="I45" i="14"/>
  <c r="J45" i="14" s="1"/>
  <c r="K45" i="14" s="1"/>
  <c r="H65" i="14"/>
  <c r="I65" i="14" s="1"/>
  <c r="J65" i="14" s="1"/>
  <c r="K65" i="14" s="1"/>
  <c r="I20" i="14"/>
  <c r="J20" i="14" s="1"/>
  <c r="K20" i="14" s="1"/>
  <c r="I43" i="14"/>
  <c r="J43" i="14" s="1"/>
  <c r="K43" i="14" s="1"/>
  <c r="I77" i="14"/>
  <c r="J77" i="14" s="1"/>
  <c r="C407" i="20" s="1"/>
  <c r="I12" i="14"/>
  <c r="J12" i="14" s="1"/>
  <c r="K12" i="14" s="1"/>
  <c r="I67" i="14"/>
  <c r="J67" i="14" s="1"/>
  <c r="C406" i="20" s="1"/>
  <c r="I13" i="14"/>
  <c r="J13" i="14" s="1"/>
  <c r="I19" i="14"/>
  <c r="J19" i="14" s="1"/>
  <c r="K19" i="14" s="1"/>
  <c r="H10" i="14"/>
  <c r="I10" i="14" s="1"/>
  <c r="H14" i="14"/>
  <c r="I14" i="14" s="1"/>
  <c r="J14" i="14" s="1"/>
  <c r="K14" i="14" s="1"/>
  <c r="H21" i="14"/>
  <c r="I21" i="14" s="1"/>
  <c r="J21" i="14" s="1"/>
  <c r="H51" i="14"/>
  <c r="I51" i="14" s="1"/>
  <c r="J51" i="14" s="1"/>
  <c r="H58" i="14"/>
  <c r="I58" i="14" s="1"/>
  <c r="J58" i="14" s="1"/>
  <c r="K58" i="14" s="1"/>
  <c r="H68" i="14"/>
  <c r="I68" i="14" s="1"/>
  <c r="J68" i="14" s="1"/>
  <c r="H79" i="14"/>
  <c r="I79" i="14" s="1"/>
  <c r="J79" i="14" s="1"/>
  <c r="D257" i="24" l="1"/>
  <c r="F257" i="24" s="1"/>
  <c r="H257" i="24" s="1"/>
  <c r="D595" i="20"/>
  <c r="F595" i="20" s="1"/>
  <c r="H595" i="20" s="1"/>
  <c r="D586" i="20"/>
  <c r="K31" i="14"/>
  <c r="C404" i="20"/>
  <c r="D577" i="20"/>
  <c r="D604" i="20"/>
  <c r="F604" i="20" s="1"/>
  <c r="H604" i="20" s="1"/>
  <c r="K56" i="14"/>
  <c r="D600" i="20"/>
  <c r="F600" i="20" s="1"/>
  <c r="D573" i="20"/>
  <c r="D591" i="20"/>
  <c r="F591" i="20" s="1"/>
  <c r="D582" i="20"/>
  <c r="D253" i="24"/>
  <c r="F253" i="24" s="1"/>
  <c r="D331" i="2"/>
  <c r="D322" i="2"/>
  <c r="D313" i="2"/>
  <c r="I11" i="14"/>
  <c r="J11" i="14" s="1"/>
  <c r="I160" i="2" s="1"/>
  <c r="I161" i="2" s="1"/>
  <c r="C137" i="24"/>
  <c r="C139" i="24" s="1"/>
  <c r="D17" i="24" s="1"/>
  <c r="D19" i="24" s="1"/>
  <c r="G257" i="24"/>
  <c r="K13" i="14"/>
  <c r="D603" i="20"/>
  <c r="F603" i="20" s="1"/>
  <c r="D206" i="20"/>
  <c r="D207" i="20" s="1"/>
  <c r="D208" i="20" s="1"/>
  <c r="D210" i="20" s="1"/>
  <c r="F510" i="20"/>
  <c r="F511" i="20" s="1"/>
  <c r="F512" i="20" s="1"/>
  <c r="F514" i="20" s="1"/>
  <c r="G23" i="20" s="1"/>
  <c r="D585" i="20"/>
  <c r="D576" i="20"/>
  <c r="D594" i="20"/>
  <c r="F594" i="20" s="1"/>
  <c r="D510" i="20"/>
  <c r="D511" i="20" s="1"/>
  <c r="D512" i="20" s="1"/>
  <c r="D514" i="20" s="1"/>
  <c r="E23" i="20" s="1"/>
  <c r="E510" i="20"/>
  <c r="E511" i="20" s="1"/>
  <c r="E512" i="20" s="1"/>
  <c r="E514" i="20" s="1"/>
  <c r="F23" i="20" s="1"/>
  <c r="F676" i="20"/>
  <c r="F680" i="20" s="1"/>
  <c r="D256" i="24"/>
  <c r="F256" i="24" s="1"/>
  <c r="E676" i="20"/>
  <c r="E680" i="20" s="1"/>
  <c r="D334" i="2"/>
  <c r="D325" i="2"/>
  <c r="D676" i="20"/>
  <c r="D680" i="20" s="1"/>
  <c r="E25" i="20" s="1"/>
  <c r="C326" i="24"/>
  <c r="C330" i="24" s="1"/>
  <c r="D25" i="24" s="1"/>
  <c r="D230" i="2"/>
  <c r="D231" i="2" s="1"/>
  <c r="D232" i="2" s="1"/>
  <c r="D234" i="2" s="1"/>
  <c r="D13" i="2" s="1"/>
  <c r="C230" i="2"/>
  <c r="C231" i="2" s="1"/>
  <c r="C232" i="2" s="1"/>
  <c r="C234" i="2" s="1"/>
  <c r="C13" i="2" s="1"/>
  <c r="D467" i="2"/>
  <c r="C467" i="2"/>
  <c r="E467" i="2"/>
  <c r="K66" i="14"/>
  <c r="D601" i="20"/>
  <c r="F601" i="20" s="1"/>
  <c r="D574" i="20"/>
  <c r="D583" i="20"/>
  <c r="D592" i="20"/>
  <c r="F592" i="20" s="1"/>
  <c r="D254" i="24"/>
  <c r="F254" i="24" s="1"/>
  <c r="D332" i="2"/>
  <c r="D323" i="2"/>
  <c r="K51" i="14"/>
  <c r="D602" i="20"/>
  <c r="F602" i="20" s="1"/>
  <c r="D584" i="20"/>
  <c r="D575" i="20"/>
  <c r="D593" i="20"/>
  <c r="F593" i="20" s="1"/>
  <c r="D255" i="24"/>
  <c r="F255" i="24" s="1"/>
  <c r="D333" i="2"/>
  <c r="D324" i="2"/>
  <c r="C408" i="20"/>
  <c r="J10" i="14"/>
  <c r="K10" i="14" s="1"/>
  <c r="F63" i="23"/>
  <c r="F39" i="23"/>
  <c r="G595" i="20" l="1"/>
  <c r="G604" i="20"/>
  <c r="K11" i="14"/>
  <c r="F491" i="20"/>
  <c r="F484" i="20"/>
  <c r="E484" i="20"/>
  <c r="E491" i="20"/>
  <c r="D484" i="20"/>
  <c r="D495" i="20" s="1"/>
  <c r="E22" i="20" s="1"/>
  <c r="F614" i="20"/>
  <c r="E160" i="2"/>
  <c r="E161" i="2" s="1"/>
  <c r="F613" i="20"/>
  <c r="D613" i="20"/>
  <c r="D614" i="20"/>
  <c r="G160" i="2"/>
  <c r="G161" i="2" s="1"/>
  <c r="E613" i="20"/>
  <c r="E614" i="20"/>
  <c r="E207" i="2"/>
  <c r="E209" i="2" s="1"/>
  <c r="E12" i="2" s="1"/>
  <c r="D207" i="2"/>
  <c r="D209" i="2" s="1"/>
  <c r="D12" i="2" s="1"/>
  <c r="D137" i="24"/>
  <c r="D139" i="24" s="1"/>
  <c r="D23" i="24" s="1"/>
  <c r="C345" i="2"/>
  <c r="C346" i="2" s="1"/>
  <c r="C264" i="24"/>
  <c r="C265" i="24" s="1"/>
  <c r="E345" i="2"/>
  <c r="E346" i="2" s="1"/>
  <c r="G600" i="20"/>
  <c r="H600" i="20"/>
  <c r="F605" i="20"/>
  <c r="H602" i="20"/>
  <c r="G602" i="20"/>
  <c r="H592" i="20"/>
  <c r="G592" i="20"/>
  <c r="G25" i="20"/>
  <c r="F25" i="20"/>
  <c r="G254" i="24"/>
  <c r="H254" i="24"/>
  <c r="H603" i="20"/>
  <c r="G603" i="20"/>
  <c r="G256" i="24"/>
  <c r="H256" i="24"/>
  <c r="H601" i="20"/>
  <c r="G601" i="20"/>
  <c r="G594" i="20"/>
  <c r="H594" i="20"/>
  <c r="H253" i="24"/>
  <c r="F258" i="24"/>
  <c r="G253" i="24"/>
  <c r="G255" i="24"/>
  <c r="H255" i="24"/>
  <c r="G593" i="20"/>
  <c r="H593" i="20"/>
  <c r="H591" i="20"/>
  <c r="G591" i="20"/>
  <c r="F596" i="20"/>
  <c r="C31" i="28"/>
  <c r="C34" i="28"/>
  <c r="C40" i="28"/>
  <c r="C46" i="28"/>
  <c r="C50" i="28"/>
  <c r="C55" i="28" s="1"/>
  <c r="C56" i="28" s="1"/>
  <c r="G52" i="28"/>
  <c r="G55" i="28" s="1"/>
  <c r="C69" i="28"/>
  <c r="C71" i="28"/>
  <c r="D75" i="28" s="1"/>
  <c r="E75" i="28" s="1"/>
  <c r="C72" i="28"/>
  <c r="C75" i="28" s="1"/>
  <c r="C78" i="28"/>
  <c r="C81" i="28" s="1"/>
  <c r="C83" i="28" s="1"/>
  <c r="G258" i="24" l="1"/>
  <c r="G596" i="20"/>
  <c r="E615" i="20"/>
  <c r="E495" i="20"/>
  <c r="F22" i="20" s="1"/>
  <c r="C269" i="24"/>
  <c r="D24" i="24" s="1"/>
  <c r="D27" i="24" s="1"/>
  <c r="D615" i="20"/>
  <c r="F495" i="20"/>
  <c r="G22" i="20" s="1"/>
  <c r="F615" i="20"/>
  <c r="F619" i="20" s="1"/>
  <c r="G24" i="20" s="1"/>
  <c r="E163" i="2"/>
  <c r="H605" i="20"/>
  <c r="G605" i="20"/>
  <c r="E619" i="20"/>
  <c r="H596" i="20"/>
  <c r="I163" i="2"/>
  <c r="G163" i="2"/>
  <c r="H258" i="24"/>
  <c r="C41" i="28"/>
  <c r="C84" i="28"/>
  <c r="C76" i="28"/>
  <c r="C79" i="28" s="1"/>
  <c r="C52" i="28"/>
  <c r="C54" i="28" s="1"/>
  <c r="C57" i="28" s="1"/>
  <c r="C59" i="28" s="1"/>
  <c r="G27" i="20" l="1"/>
  <c r="F167" i="2"/>
  <c r="E10" i="2" s="1"/>
  <c r="G697" i="20"/>
  <c r="F24" i="20"/>
  <c r="F27" i="20" s="1"/>
  <c r="F697" i="20"/>
  <c r="B95" i="28"/>
  <c r="C86" i="28"/>
  <c r="C87" i="28" s="1"/>
  <c r="C90" i="28" s="1"/>
  <c r="C91" i="28" s="1"/>
  <c r="E96" i="28" l="1"/>
  <c r="F96" i="28" s="1"/>
  <c r="E94" i="28"/>
  <c r="E95" i="28"/>
  <c r="F95" i="28" s="1"/>
  <c r="B97" i="28"/>
  <c r="E97" i="28" l="1"/>
  <c r="F94" i="28"/>
  <c r="F97" i="28" s="1"/>
  <c r="D100" i="28" s="1"/>
  <c r="H48" i="1" s="1"/>
  <c r="C184" i="24" l="1"/>
  <c r="C185" i="24" s="1"/>
  <c r="C187" i="24" s="1"/>
  <c r="C188" i="24" l="1"/>
  <c r="C189" i="24" s="1"/>
  <c r="C192" i="24" l="1"/>
  <c r="D11" i="24" s="1"/>
  <c r="B33" i="25"/>
  <c r="B32" i="25"/>
  <c r="B30" i="25"/>
  <c r="B29" i="25"/>
  <c r="B28" i="25"/>
  <c r="B27" i="25"/>
  <c r="B232" i="24"/>
  <c r="B154" i="24"/>
  <c r="E122" i="22"/>
  <c r="B83" i="22"/>
  <c r="C81" i="22"/>
  <c r="B71" i="22"/>
  <c r="B69" i="22"/>
  <c r="B183" i="21"/>
  <c r="C185" i="21" s="1"/>
  <c r="E13" i="21" s="1"/>
  <c r="B169" i="21"/>
  <c r="E130" i="21"/>
  <c r="B92" i="21"/>
  <c r="C90" i="21"/>
  <c r="B78" i="21"/>
  <c r="D62" i="21"/>
  <c r="B44" i="21"/>
  <c r="C561" i="20"/>
  <c r="C547" i="20"/>
  <c r="C545" i="20"/>
  <c r="C509" i="20"/>
  <c r="C490" i="20"/>
  <c r="C481" i="20"/>
  <c r="C452" i="20"/>
  <c r="C453" i="20" s="1"/>
  <c r="E329" i="20"/>
  <c r="B286" i="20"/>
  <c r="C284" i="20"/>
  <c r="D260" i="20"/>
  <c r="B274" i="20" s="1"/>
  <c r="C205" i="20"/>
  <c r="C178" i="20"/>
  <c r="F148" i="20"/>
  <c r="E148" i="20"/>
  <c r="F147" i="20"/>
  <c r="E147" i="20"/>
  <c r="F146" i="20"/>
  <c r="E146" i="20"/>
  <c r="F145" i="20"/>
  <c r="E145" i="20"/>
  <c r="F144" i="20"/>
  <c r="E144" i="20"/>
  <c r="D143" i="20"/>
  <c r="F143" i="20" s="1"/>
  <c r="C143" i="20"/>
  <c r="E143" i="20" s="1"/>
  <c r="D142" i="20"/>
  <c r="F142" i="20" s="1"/>
  <c r="C142" i="20"/>
  <c r="E142" i="20" s="1"/>
  <c r="D141" i="20"/>
  <c r="F141" i="20" s="1"/>
  <c r="C141" i="20"/>
  <c r="E141" i="20" s="1"/>
  <c r="D140" i="20"/>
  <c r="F140" i="20" s="1"/>
  <c r="C140" i="20"/>
  <c r="E140" i="20" s="1"/>
  <c r="D139" i="20"/>
  <c r="F139" i="20" s="1"/>
  <c r="C139" i="20"/>
  <c r="E139" i="20" s="1"/>
  <c r="D138" i="20"/>
  <c r="F138" i="20" s="1"/>
  <c r="C138" i="20"/>
  <c r="E138" i="20" s="1"/>
  <c r="D137" i="20"/>
  <c r="F137" i="20" s="1"/>
  <c r="C137" i="20"/>
  <c r="E137" i="20" s="1"/>
  <c r="D136" i="20"/>
  <c r="F136" i="20" s="1"/>
  <c r="C136" i="20"/>
  <c r="E136" i="20" s="1"/>
  <c r="D135" i="20"/>
  <c r="F135" i="20" s="1"/>
  <c r="C135" i="20"/>
  <c r="E135" i="20" s="1"/>
  <c r="D134" i="20"/>
  <c r="F134" i="20" s="1"/>
  <c r="C134" i="20"/>
  <c r="E134" i="20" s="1"/>
  <c r="D133" i="20"/>
  <c r="F133" i="20" s="1"/>
  <c r="C133" i="20"/>
  <c r="E133" i="20" s="1"/>
  <c r="D132" i="20"/>
  <c r="F132" i="20" s="1"/>
  <c r="C132" i="20"/>
  <c r="E132" i="20" s="1"/>
  <c r="D131" i="20"/>
  <c r="F131" i="20" s="1"/>
  <c r="C131" i="20"/>
  <c r="E131" i="20" s="1"/>
  <c r="D130" i="20"/>
  <c r="F130" i="20" s="1"/>
  <c r="C130" i="20"/>
  <c r="E130" i="20" s="1"/>
  <c r="D129" i="20"/>
  <c r="F129" i="20" s="1"/>
  <c r="C129" i="20"/>
  <c r="D128" i="20"/>
  <c r="F128" i="20" s="1"/>
  <c r="C128" i="20"/>
  <c r="E128" i="20" s="1"/>
  <c r="D127" i="20"/>
  <c r="F127" i="20" s="1"/>
  <c r="C127" i="20"/>
  <c r="E127" i="20" s="1"/>
  <c r="D126" i="20"/>
  <c r="F126" i="20" s="1"/>
  <c r="C126" i="20"/>
  <c r="E126" i="20" s="1"/>
  <c r="D125" i="20"/>
  <c r="F125" i="20" s="1"/>
  <c r="C125" i="20"/>
  <c r="E125" i="20" s="1"/>
  <c r="D124" i="20"/>
  <c r="F123" i="20"/>
  <c r="F122" i="20"/>
  <c r="B47" i="17"/>
  <c r="B48" i="17" s="1"/>
  <c r="B49" i="17" s="1"/>
  <c r="B50" i="17" s="1"/>
  <c r="B51" i="17" s="1"/>
  <c r="B52" i="17" s="1"/>
  <c r="B53" i="17" s="1"/>
  <c r="B54" i="17" s="1"/>
  <c r="B55" i="17" s="1"/>
  <c r="B56" i="17" s="1"/>
  <c r="B57" i="17" s="1"/>
  <c r="B58" i="17" s="1"/>
  <c r="B59" i="17" s="1"/>
  <c r="B60" i="17" s="1"/>
  <c r="B61" i="17" s="1"/>
  <c r="E37" i="17"/>
  <c r="D20" i="17"/>
  <c r="E20" i="17" s="1"/>
  <c r="D28" i="17" s="1"/>
  <c r="E28" i="17" s="1"/>
  <c r="D18" i="17"/>
  <c r="E18" i="17" s="1"/>
  <c r="D26" i="17" s="1"/>
  <c r="E26" i="17" s="1"/>
  <c r="F41" i="16"/>
  <c r="F40" i="16"/>
  <c r="F39" i="16"/>
  <c r="F38" i="16"/>
  <c r="E37" i="16"/>
  <c r="F37" i="16" s="1"/>
  <c r="D32" i="16"/>
  <c r="E32" i="16" s="1"/>
  <c r="D31" i="16"/>
  <c r="E31" i="16" s="1"/>
  <c r="D30" i="16"/>
  <c r="E30" i="16" s="1"/>
  <c r="D29" i="16"/>
  <c r="E29" i="16" s="1"/>
  <c r="D28" i="16"/>
  <c r="E28" i="16" s="1"/>
  <c r="D27" i="16"/>
  <c r="E27" i="16" s="1"/>
  <c r="D21" i="16"/>
  <c r="E21" i="16" s="1"/>
  <c r="F32" i="16" s="1"/>
  <c r="D20" i="16"/>
  <c r="E20" i="16" s="1"/>
  <c r="F31" i="16" s="1"/>
  <c r="D18" i="16"/>
  <c r="E18" i="16" s="1"/>
  <c r="F29" i="16" s="1"/>
  <c r="E41" i="5"/>
  <c r="E46" i="5" s="1"/>
  <c r="D27" i="5"/>
  <c r="E27" i="5" s="1"/>
  <c r="D37" i="5" s="1"/>
  <c r="E37" i="5" s="1"/>
  <c r="D26" i="5"/>
  <c r="E26" i="5" s="1"/>
  <c r="D36" i="5" s="1"/>
  <c r="E36" i="5" s="1"/>
  <c r="D24" i="5"/>
  <c r="E24" i="5" s="1"/>
  <c r="D34" i="5" s="1"/>
  <c r="E34" i="5" s="1"/>
  <c r="E652" i="6"/>
  <c r="B633" i="6"/>
  <c r="C529" i="6"/>
  <c r="D529" i="6" s="1"/>
  <c r="C528" i="6"/>
  <c r="C527" i="6"/>
  <c r="C526" i="6"/>
  <c r="C525" i="6"/>
  <c r="C524" i="6"/>
  <c r="D512" i="6"/>
  <c r="E512" i="6" s="1"/>
  <c r="D514" i="6" s="1"/>
  <c r="D501" i="6"/>
  <c r="C499" i="6"/>
  <c r="C498" i="6"/>
  <c r="C497" i="6"/>
  <c r="C496" i="6"/>
  <c r="B484" i="6"/>
  <c r="B500" i="6" s="1"/>
  <c r="C482" i="6"/>
  <c r="D467" i="6"/>
  <c r="D469" i="6" s="1"/>
  <c r="D471" i="6" s="1"/>
  <c r="E303" i="6"/>
  <c r="B278" i="6"/>
  <c r="B282" i="6" s="1"/>
  <c r="C264" i="6"/>
  <c r="D262" i="6"/>
  <c r="C252" i="6"/>
  <c r="C250" i="6"/>
  <c r="C249" i="6"/>
  <c r="E234" i="6"/>
  <c r="D203" i="6"/>
  <c r="E655" i="6" s="1"/>
  <c r="D200" i="6"/>
  <c r="D196" i="6"/>
  <c r="D198" i="6" s="1"/>
  <c r="D201" i="6" s="1"/>
  <c r="B53" i="6"/>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G30" i="6"/>
  <c r="D52" i="6" s="1"/>
  <c r="G27" i="6"/>
  <c r="G26" i="6"/>
  <c r="G25" i="6"/>
  <c r="G24" i="6"/>
  <c r="G21" i="6"/>
  <c r="G19" i="6"/>
  <c r="G16" i="6"/>
  <c r="G12" i="12"/>
  <c r="H14" i="1" s="1"/>
  <c r="D303" i="15"/>
  <c r="D305" i="15" s="1"/>
  <c r="D307" i="15" s="1"/>
  <c r="C290" i="15"/>
  <c r="C292" i="15" s="1"/>
  <c r="C293" i="15" s="1"/>
  <c r="C264" i="15"/>
  <c r="C267" i="15" s="1"/>
  <c r="E253" i="15"/>
  <c r="B223" i="15"/>
  <c r="B227" i="15" s="1"/>
  <c r="C211" i="15"/>
  <c r="D209" i="15"/>
  <c r="C189" i="15"/>
  <c r="C197" i="15" s="1"/>
  <c r="C157" i="15"/>
  <c r="D155" i="15"/>
  <c r="C135" i="15"/>
  <c r="C143" i="15" s="1"/>
  <c r="D114" i="15"/>
  <c r="C109" i="15"/>
  <c r="D120" i="15" s="1"/>
  <c r="D108" i="15"/>
  <c r="G108" i="15" s="1"/>
  <c r="G110" i="15" s="1"/>
  <c r="D115" i="15" s="1"/>
  <c r="D116" i="15" s="1"/>
  <c r="C252" i="15" s="1"/>
  <c r="C71" i="15"/>
  <c r="D70" i="15"/>
  <c r="G70" i="15" s="1"/>
  <c r="G72" i="15" s="1"/>
  <c r="E15" i="15"/>
  <c r="E10" i="15"/>
  <c r="E8" i="15"/>
  <c r="B394" i="2"/>
  <c r="C353" i="2"/>
  <c r="C177" i="2"/>
  <c r="F157" i="2"/>
  <c r="G424" i="2"/>
  <c r="C206" i="2"/>
  <c r="C207" i="2" s="1"/>
  <c r="D277" i="6"/>
  <c r="E317" i="7"/>
  <c r="E316" i="7"/>
  <c r="E315" i="7"/>
  <c r="E314" i="7"/>
  <c r="E313" i="7"/>
  <c r="E312" i="7"/>
  <c r="G308" i="7"/>
  <c r="G307" i="7"/>
  <c r="G306" i="7"/>
  <c r="H292" i="7"/>
  <c r="E305" i="7" s="1"/>
  <c r="H291" i="7"/>
  <c r="E304" i="7" s="1"/>
  <c r="H290" i="7"/>
  <c r="E303" i="7" s="1"/>
  <c r="H289" i="7"/>
  <c r="E302" i="7" s="1"/>
  <c r="F199" i="7"/>
  <c r="F193" i="7"/>
  <c r="H199" i="7" s="1"/>
  <c r="F189" i="7"/>
  <c r="H195" i="7" s="1"/>
  <c r="F178" i="7"/>
  <c r="F172" i="7"/>
  <c r="F174" i="7" s="1"/>
  <c r="D81" i="6" l="1"/>
  <c r="C478" i="20"/>
  <c r="C482" i="20" s="1"/>
  <c r="C483" i="20" s="1"/>
  <c r="B62" i="17"/>
  <c r="B63" i="17" s="1"/>
  <c r="B64" i="17" s="1"/>
  <c r="B65" i="17" s="1"/>
  <c r="B66" i="17" s="1"/>
  <c r="B67" i="17" s="1"/>
  <c r="B68" i="17" s="1"/>
  <c r="B69" i="17" s="1"/>
  <c r="B70" i="17" s="1"/>
  <c r="B71" i="17" s="1"/>
  <c r="B72" i="17" s="1"/>
  <c r="B73" i="17" s="1"/>
  <c r="B74" i="17" s="1"/>
  <c r="B75" i="17" s="1"/>
  <c r="E18" i="15"/>
  <c r="C255" i="15"/>
  <c r="G255" i="15" s="1"/>
  <c r="C254" i="15"/>
  <c r="G254" i="15" s="1"/>
  <c r="C253" i="15"/>
  <c r="G253" i="15" s="1"/>
  <c r="C199" i="15"/>
  <c r="C200" i="15" s="1"/>
  <c r="C203" i="15" s="1"/>
  <c r="C363" i="2"/>
  <c r="C361" i="2"/>
  <c r="I199" i="7"/>
  <c r="E42" i="16"/>
  <c r="B34" i="25"/>
  <c r="C37" i="25" s="1"/>
  <c r="H28" i="1" s="1"/>
  <c r="B46" i="21"/>
  <c r="E9" i="21" s="1"/>
  <c r="D287" i="2"/>
  <c r="D290" i="2" s="1"/>
  <c r="D291" i="2" s="1"/>
  <c r="D296" i="2" s="1"/>
  <c r="B81" i="21"/>
  <c r="B84" i="21" s="1"/>
  <c r="B85" i="21" s="1"/>
  <c r="B88" i="21" s="1"/>
  <c r="C84" i="21"/>
  <c r="D84" i="21" s="1"/>
  <c r="D256" i="6"/>
  <c r="E256" i="6" s="1"/>
  <c r="D204" i="6"/>
  <c r="G11" i="6" s="1"/>
  <c r="C253" i="6"/>
  <c r="C145" i="15"/>
  <c r="C146" i="15" s="1"/>
  <c r="C149" i="15" s="1"/>
  <c r="F71" i="15"/>
  <c r="F72" i="15" s="1"/>
  <c r="F109" i="15"/>
  <c r="F110" i="15" s="1"/>
  <c r="D121" i="15" s="1"/>
  <c r="D122" i="15" s="1"/>
  <c r="D124" i="15" s="1"/>
  <c r="F154" i="2"/>
  <c r="D292" i="2"/>
  <c r="D293" i="2" s="1"/>
  <c r="B224" i="24"/>
  <c r="B225" i="24" s="1"/>
  <c r="B222" i="24"/>
  <c r="B233" i="24" s="1"/>
  <c r="B245" i="24" s="1"/>
  <c r="C186" i="20"/>
  <c r="C187" i="20" s="1"/>
  <c r="C553" i="20"/>
  <c r="C554" i="20" s="1"/>
  <c r="B272" i="20"/>
  <c r="D484" i="6"/>
  <c r="G29" i="16"/>
  <c r="G32" i="16"/>
  <c r="G31" i="16"/>
  <c r="C75" i="22"/>
  <c r="D75" i="22" s="1"/>
  <c r="B44" i="22"/>
  <c r="D118" i="15"/>
  <c r="B482" i="6"/>
  <c r="G305" i="7"/>
  <c r="D246" i="24"/>
  <c r="D279" i="6"/>
  <c r="D105" i="21"/>
  <c r="D300" i="20"/>
  <c r="D224" i="15"/>
  <c r="D172" i="15"/>
  <c r="D315" i="2"/>
  <c r="D96" i="22"/>
  <c r="D391" i="2"/>
  <c r="G252" i="15"/>
  <c r="D247" i="24"/>
  <c r="D97" i="22"/>
  <c r="D301" i="20"/>
  <c r="D106" i="21"/>
  <c r="D316" i="2"/>
  <c r="D173" i="15"/>
  <c r="D280" i="6"/>
  <c r="D392" i="2"/>
  <c r="D225" i="15"/>
  <c r="C206" i="20"/>
  <c r="B480" i="6"/>
  <c r="D16" i="16"/>
  <c r="E16" i="16" s="1"/>
  <c r="D22" i="5"/>
  <c r="E22" i="5" s="1"/>
  <c r="G302" i="7"/>
  <c r="D17" i="17"/>
  <c r="E17" i="17" s="1"/>
  <c r="D278" i="6"/>
  <c r="D390" i="2"/>
  <c r="D171" i="15"/>
  <c r="D223" i="15"/>
  <c r="D104" i="21"/>
  <c r="D95" i="22"/>
  <c r="D299" i="20"/>
  <c r="D314" i="2"/>
  <c r="D245" i="24"/>
  <c r="D170" i="15"/>
  <c r="K82" i="14"/>
  <c r="D23" i="5"/>
  <c r="E23" i="5" s="1"/>
  <c r="D33" i="5" s="1"/>
  <c r="E33" i="5" s="1"/>
  <c r="B481" i="6"/>
  <c r="D17" i="16"/>
  <c r="E17" i="16" s="1"/>
  <c r="F28" i="16" s="1"/>
  <c r="G28" i="16" s="1"/>
  <c r="G303" i="7"/>
  <c r="D25" i="5"/>
  <c r="E25" i="5" s="1"/>
  <c r="D19" i="17"/>
  <c r="E19" i="17" s="1"/>
  <c r="D27" i="17" s="1"/>
  <c r="E27" i="17" s="1"/>
  <c r="B483" i="6"/>
  <c r="G304" i="7"/>
  <c r="D19" i="16"/>
  <c r="E19" i="16" s="1"/>
  <c r="F30" i="16" s="1"/>
  <c r="G30" i="16" s="1"/>
  <c r="D169" i="15"/>
  <c r="D389" i="2"/>
  <c r="D222" i="15"/>
  <c r="D248" i="24"/>
  <c r="D107" i="21"/>
  <c r="D98" i="22"/>
  <c r="D393" i="2"/>
  <c r="D226" i="15"/>
  <c r="D317" i="2"/>
  <c r="D281" i="6"/>
  <c r="D302" i="20"/>
  <c r="D174" i="15"/>
  <c r="B155" i="24"/>
  <c r="E129" i="20"/>
  <c r="E149" i="20" s="1"/>
  <c r="C149" i="20"/>
  <c r="D500" i="6"/>
  <c r="B528" i="6"/>
  <c r="D528" i="6" s="1"/>
  <c r="F124" i="20"/>
  <c r="F149" i="20" s="1"/>
  <c r="D149" i="20"/>
  <c r="C548" i="20"/>
  <c r="C551" i="20" s="1"/>
  <c r="C562" i="20" s="1"/>
  <c r="G28" i="6"/>
  <c r="D64" i="21"/>
  <c r="C66" i="21" s="1"/>
  <c r="C67" i="21" s="1"/>
  <c r="B170" i="21"/>
  <c r="B72" i="22"/>
  <c r="B75" i="22" s="1"/>
  <c r="F42" i="16"/>
  <c r="B64" i="21"/>
  <c r="B144" i="21" s="1"/>
  <c r="C510" i="20"/>
  <c r="D154" i="2" l="1"/>
  <c r="D158" i="2" s="1"/>
  <c r="D159" i="2" s="1"/>
  <c r="D160" i="2" s="1"/>
  <c r="D161" i="2" s="1"/>
  <c r="C150" i="20"/>
  <c r="C175" i="20" s="1"/>
  <c r="C179" i="20" s="1"/>
  <c r="C180" i="20" s="1"/>
  <c r="C181" i="20" s="1"/>
  <c r="C191" i="20" s="1"/>
  <c r="B12" i="20" s="1"/>
  <c r="D35" i="5"/>
  <c r="E35" i="5" s="1"/>
  <c r="C256" i="6"/>
  <c r="C269" i="6" s="1"/>
  <c r="C270" i="6" s="1"/>
  <c r="C273" i="6" s="1"/>
  <c r="B93" i="21"/>
  <c r="B95" i="21" s="1"/>
  <c r="B96" i="21" s="1"/>
  <c r="B99" i="21" s="1"/>
  <c r="B100" i="21" s="1"/>
  <c r="D203" i="15"/>
  <c r="E203" i="15" s="1"/>
  <c r="C364" i="2"/>
  <c r="C367" i="2" s="1"/>
  <c r="C378" i="2" s="1"/>
  <c r="D426" i="2"/>
  <c r="D425" i="2"/>
  <c r="D424" i="2"/>
  <c r="C427" i="2"/>
  <c r="C369" i="2"/>
  <c r="C370" i="2" s="1"/>
  <c r="D301" i="2"/>
  <c r="B323" i="2" s="1"/>
  <c r="C150" i="15"/>
  <c r="C153" i="15" s="1"/>
  <c r="C158" i="15"/>
  <c r="C160" i="15" s="1"/>
  <c r="C161" i="15" s="1"/>
  <c r="C164" i="15" s="1"/>
  <c r="C165" i="15" s="1"/>
  <c r="D149" i="15"/>
  <c r="E149" i="15" s="1"/>
  <c r="B223" i="24"/>
  <c r="B228" i="24" s="1"/>
  <c r="C278" i="20"/>
  <c r="D278" i="20" s="1"/>
  <c r="B275" i="20"/>
  <c r="B278" i="20" s="1"/>
  <c r="D56" i="22"/>
  <c r="C58" i="22" s="1"/>
  <c r="C121" i="22" s="1"/>
  <c r="C209" i="2"/>
  <c r="C12" i="2" s="1"/>
  <c r="C484" i="20"/>
  <c r="B45" i="22"/>
  <c r="B47" i="22" s="1"/>
  <c r="E9" i="22" s="1"/>
  <c r="C491" i="20"/>
  <c r="C214" i="15"/>
  <c r="C215" i="15" s="1"/>
  <c r="C218" i="15" s="1"/>
  <c r="C219" i="15" s="1"/>
  <c r="C212" i="15"/>
  <c r="C204" i="15"/>
  <c r="C207" i="15" s="1"/>
  <c r="C650" i="20"/>
  <c r="C693" i="20"/>
  <c r="C695" i="20" s="1"/>
  <c r="B26" i="20" s="1"/>
  <c r="C675" i="20"/>
  <c r="C676" i="20" s="1"/>
  <c r="E10" i="21"/>
  <c r="G256" i="15"/>
  <c r="B76" i="22"/>
  <c r="B79" i="22" s="1"/>
  <c r="B84" i="22"/>
  <c r="D483" i="6"/>
  <c r="B499" i="6"/>
  <c r="B574" i="20"/>
  <c r="C552" i="20"/>
  <c r="C557" i="20" s="1"/>
  <c r="C511" i="20"/>
  <c r="C512" i="20" s="1"/>
  <c r="C514" i="20" s="1"/>
  <c r="B23" i="20" s="1"/>
  <c r="E28" i="5"/>
  <c r="D32" i="5"/>
  <c r="D482" i="6"/>
  <c r="B498" i="6"/>
  <c r="C130" i="21"/>
  <c r="G130" i="21" s="1"/>
  <c r="C129" i="21"/>
  <c r="G129" i="21" s="1"/>
  <c r="C69" i="21"/>
  <c r="C132" i="21"/>
  <c r="G132" i="21" s="1"/>
  <c r="C131" i="21"/>
  <c r="G131" i="21" s="1"/>
  <c r="F27" i="16"/>
  <c r="E22" i="16"/>
  <c r="D480" i="6"/>
  <c r="B496" i="6"/>
  <c r="B104" i="21"/>
  <c r="B108" i="21" s="1"/>
  <c r="D342" i="6"/>
  <c r="D343" i="6" s="1"/>
  <c r="B156" i="24"/>
  <c r="B157" i="24" s="1"/>
  <c r="D244" i="24"/>
  <c r="D94" i="22"/>
  <c r="D103" i="21"/>
  <c r="D298" i="20"/>
  <c r="D168" i="15"/>
  <c r="B497" i="6"/>
  <c r="D481" i="6"/>
  <c r="D25" i="17"/>
  <c r="E21" i="17"/>
  <c r="B249" i="24"/>
  <c r="B235" i="24"/>
  <c r="B236" i="24" s="1"/>
  <c r="B239" i="24" s="1"/>
  <c r="B240" i="24" s="1"/>
  <c r="B325" i="24"/>
  <c r="B326" i="24" s="1"/>
  <c r="B343" i="24"/>
  <c r="B345" i="24" s="1"/>
  <c r="D14" i="24" s="1"/>
  <c r="C207" i="20"/>
  <c r="C208" i="20" s="1"/>
  <c r="C210" i="20" s="1"/>
  <c r="C241" i="20" s="1"/>
  <c r="B13" i="20" s="1"/>
  <c r="C495" i="20" l="1"/>
  <c r="B22" i="20" s="1"/>
  <c r="B262" i="24"/>
  <c r="B263" i="24" s="1"/>
  <c r="B264" i="24" s="1"/>
  <c r="B265" i="24" s="1"/>
  <c r="B310" i="24"/>
  <c r="B159" i="24"/>
  <c r="D10" i="24" s="1"/>
  <c r="C60" i="22"/>
  <c r="G121" i="22"/>
  <c r="C265" i="6"/>
  <c r="C257" i="6"/>
  <c r="C260" i="6" s="1"/>
  <c r="D163" i="2"/>
  <c r="D167" i="2" s="1"/>
  <c r="C10" i="2" s="1"/>
  <c r="F158" i="2"/>
  <c r="F159" i="2" s="1"/>
  <c r="F160" i="2" s="1"/>
  <c r="F161" i="2" s="1"/>
  <c r="E172" i="15"/>
  <c r="F172" i="15" s="1"/>
  <c r="G172" i="15" s="1"/>
  <c r="C282" i="15"/>
  <c r="C283" i="15" s="1"/>
  <c r="C277" i="15"/>
  <c r="C278" i="15" s="1"/>
  <c r="E168" i="15"/>
  <c r="F168" i="15" s="1"/>
  <c r="C178" i="15"/>
  <c r="E173" i="15"/>
  <c r="F173" i="15" s="1"/>
  <c r="G173" i="15" s="1"/>
  <c r="E169" i="15"/>
  <c r="F169" i="15" s="1"/>
  <c r="G169" i="15" s="1"/>
  <c r="E171" i="15"/>
  <c r="F171" i="15" s="1"/>
  <c r="H171" i="15" s="1"/>
  <c r="E174" i="15"/>
  <c r="F174" i="15" s="1"/>
  <c r="G174" i="15" s="1"/>
  <c r="C380" i="2"/>
  <c r="C381" i="2" s="1"/>
  <c r="C384" i="2" s="1"/>
  <c r="C385" i="2" s="1"/>
  <c r="C368" i="2"/>
  <c r="C373" i="2" s="1"/>
  <c r="B327" i="2"/>
  <c r="D303" i="2"/>
  <c r="D304" i="2" s="1"/>
  <c r="D307" i="2" s="1"/>
  <c r="D427" i="2"/>
  <c r="E104" i="21"/>
  <c r="F104" i="21" s="1"/>
  <c r="C111" i="21"/>
  <c r="C112" i="21" s="1"/>
  <c r="B170" i="15"/>
  <c r="D256" i="20"/>
  <c r="D257" i="20" s="1"/>
  <c r="C328" i="20" s="1"/>
  <c r="C343" i="20"/>
  <c r="B279" i="20"/>
  <c r="B282" i="20" s="1"/>
  <c r="B287" i="20"/>
  <c r="B136" i="22"/>
  <c r="B161" i="22"/>
  <c r="B162" i="22" s="1"/>
  <c r="B175" i="22"/>
  <c r="C177" i="22" s="1"/>
  <c r="C122" i="22"/>
  <c r="G122" i="22" s="1"/>
  <c r="C123" i="22"/>
  <c r="G123" i="22" s="1"/>
  <c r="C124" i="22"/>
  <c r="G124" i="22" s="1"/>
  <c r="E107" i="21"/>
  <c r="F107" i="21" s="1"/>
  <c r="B159" i="21"/>
  <c r="B160" i="21" s="1"/>
  <c r="B154" i="21"/>
  <c r="B155" i="21" s="1"/>
  <c r="E106" i="21"/>
  <c r="F106" i="21" s="1"/>
  <c r="E103" i="21"/>
  <c r="E105" i="21"/>
  <c r="F105" i="21" s="1"/>
  <c r="B315" i="24"/>
  <c r="B316" i="24" s="1"/>
  <c r="B311" i="24"/>
  <c r="E247" i="24"/>
  <c r="F247" i="24" s="1"/>
  <c r="E244" i="24"/>
  <c r="F244" i="24" s="1"/>
  <c r="E245" i="24"/>
  <c r="F245" i="24" s="1"/>
  <c r="E248" i="24"/>
  <c r="F248" i="24" s="1"/>
  <c r="E246" i="24"/>
  <c r="F246" i="24" s="1"/>
  <c r="C231" i="15"/>
  <c r="C232" i="15" s="1"/>
  <c r="C233" i="15" s="1"/>
  <c r="E224" i="15"/>
  <c r="F224" i="15" s="1"/>
  <c r="E223" i="15"/>
  <c r="F223" i="15" s="1"/>
  <c r="E226" i="15"/>
  <c r="F226" i="15" s="1"/>
  <c r="E225" i="15"/>
  <c r="F225" i="15" s="1"/>
  <c r="E222" i="15"/>
  <c r="C564" i="20"/>
  <c r="C565" i="20" s="1"/>
  <c r="C568" i="20" s="1"/>
  <c r="C569" i="20" s="1"/>
  <c r="G234" i="6"/>
  <c r="D237" i="6" s="1"/>
  <c r="D238" i="6" s="1"/>
  <c r="D498" i="6"/>
  <c r="B526" i="6"/>
  <c r="D526" i="6" s="1"/>
  <c r="B318" i="2"/>
  <c r="F33" i="16"/>
  <c r="G27" i="16"/>
  <c r="G33" i="16" s="1"/>
  <c r="F44" i="16" s="1"/>
  <c r="D499" i="6"/>
  <c r="B527" i="6"/>
  <c r="D527" i="6" s="1"/>
  <c r="E32" i="5"/>
  <c r="E38" i="5" s="1"/>
  <c r="D38" i="5"/>
  <c r="B525" i="6"/>
  <c r="D525" i="6" s="1"/>
  <c r="D497" i="6"/>
  <c r="B524" i="6"/>
  <c r="D524" i="6" s="1"/>
  <c r="D496" i="6"/>
  <c r="C452" i="2"/>
  <c r="C457" i="2"/>
  <c r="D485" i="6"/>
  <c r="D487" i="6" s="1"/>
  <c r="B95" i="22"/>
  <c r="B99" i="22" s="1"/>
  <c r="B86" i="22"/>
  <c r="B87" i="22" s="1"/>
  <c r="B90" i="22" s="1"/>
  <c r="E25" i="17"/>
  <c r="E29" i="17" s="1"/>
  <c r="D29" i="17"/>
  <c r="G133" i="21"/>
  <c r="D75" i="17" l="1"/>
  <c r="E75" i="17" s="1"/>
  <c r="F75" i="17" s="1"/>
  <c r="D74" i="17"/>
  <c r="E74" i="17" s="1"/>
  <c r="F74" i="17" s="1"/>
  <c r="D73" i="17"/>
  <c r="E73" i="17" s="1"/>
  <c r="F73" i="17" s="1"/>
  <c r="D72" i="17"/>
  <c r="E72" i="17" s="1"/>
  <c r="F72" i="17" s="1"/>
  <c r="H172" i="15"/>
  <c r="C660" i="20"/>
  <c r="C661" i="20" s="1"/>
  <c r="E573" i="20"/>
  <c r="F582" i="20"/>
  <c r="F586" i="20"/>
  <c r="F584" i="20"/>
  <c r="F585" i="20"/>
  <c r="B330" i="24"/>
  <c r="D13" i="24" s="1"/>
  <c r="H44" i="1"/>
  <c r="D63" i="17"/>
  <c r="D67" i="17"/>
  <c r="D70" i="17"/>
  <c r="D62" i="17"/>
  <c r="D65" i="17"/>
  <c r="D69" i="17"/>
  <c r="D64" i="17"/>
  <c r="D68" i="17"/>
  <c r="D66" i="17"/>
  <c r="D71" i="17"/>
  <c r="E71" i="17" s="1"/>
  <c r="F71" i="17" s="1"/>
  <c r="E48" i="5"/>
  <c r="C274" i="6"/>
  <c r="C302" i="6"/>
  <c r="G302" i="6" s="1"/>
  <c r="F163" i="2"/>
  <c r="E167" i="2" s="1"/>
  <c r="C234" i="15"/>
  <c r="C179" i="15"/>
  <c r="C180" i="15" s="1"/>
  <c r="G171" i="15"/>
  <c r="H174" i="15"/>
  <c r="H169" i="15"/>
  <c r="H173" i="15"/>
  <c r="E393" i="2"/>
  <c r="F393" i="2" s="1"/>
  <c r="H393" i="2" s="1"/>
  <c r="E401" i="2"/>
  <c r="E402" i="2" s="1"/>
  <c r="E403" i="2" s="1"/>
  <c r="E404" i="2" s="1"/>
  <c r="D308" i="2"/>
  <c r="D343" i="2"/>
  <c r="D344" i="2" s="1"/>
  <c r="C469" i="2"/>
  <c r="E392" i="2"/>
  <c r="F392" i="2" s="1"/>
  <c r="H392" i="2" s="1"/>
  <c r="E391" i="2"/>
  <c r="F391" i="2" s="1"/>
  <c r="G391" i="2" s="1"/>
  <c r="E390" i="2"/>
  <c r="F390" i="2" s="1"/>
  <c r="H390" i="2" s="1"/>
  <c r="E389" i="2"/>
  <c r="F331" i="2"/>
  <c r="F334" i="2"/>
  <c r="F335" i="2"/>
  <c r="F333" i="2"/>
  <c r="E427" i="2"/>
  <c r="E170" i="15"/>
  <c r="B175" i="15"/>
  <c r="C387" i="20"/>
  <c r="C412" i="20" s="1"/>
  <c r="C366" i="20"/>
  <c r="C368" i="20" s="1"/>
  <c r="C369" i="20" s="1"/>
  <c r="B299" i="20"/>
  <c r="B303" i="20" s="1"/>
  <c r="B289" i="20"/>
  <c r="B290" i="20" s="1"/>
  <c r="B293" i="20" s="1"/>
  <c r="B294" i="20" s="1"/>
  <c r="E12" i="22"/>
  <c r="G125" i="22"/>
  <c r="H106" i="21"/>
  <c r="G106" i="21"/>
  <c r="E108" i="21"/>
  <c r="C172" i="21"/>
  <c r="H168" i="15"/>
  <c r="G168" i="15"/>
  <c r="H248" i="24"/>
  <c r="G248" i="24"/>
  <c r="G104" i="21"/>
  <c r="H104" i="21"/>
  <c r="B578" i="20"/>
  <c r="E574" i="20"/>
  <c r="F574" i="20" s="1"/>
  <c r="H245" i="24"/>
  <c r="G245" i="24"/>
  <c r="H107" i="21"/>
  <c r="G107" i="21"/>
  <c r="C611" i="20"/>
  <c r="C612" i="20" s="1"/>
  <c r="C613" i="20" s="1"/>
  <c r="E575" i="20"/>
  <c r="F575" i="20" s="1"/>
  <c r="C665" i="20"/>
  <c r="C666" i="20" s="1"/>
  <c r="E576" i="20"/>
  <c r="F576" i="20" s="1"/>
  <c r="E577" i="20"/>
  <c r="F577" i="20" s="1"/>
  <c r="G105" i="21"/>
  <c r="H105" i="21"/>
  <c r="H246" i="24"/>
  <c r="G246" i="24"/>
  <c r="D502" i="6"/>
  <c r="D504" i="6" s="1"/>
  <c r="D530" i="6"/>
  <c r="D532" i="6" s="1"/>
  <c r="F103" i="21"/>
  <c r="D295" i="15"/>
  <c r="G244" i="24"/>
  <c r="H244" i="24"/>
  <c r="F249" i="24"/>
  <c r="B269" i="24" s="1"/>
  <c r="D12" i="24" s="1"/>
  <c r="E249" i="24"/>
  <c r="G247" i="24"/>
  <c r="H247" i="24"/>
  <c r="D259" i="20"/>
  <c r="C331" i="20"/>
  <c r="G331" i="20" s="1"/>
  <c r="C330" i="20"/>
  <c r="G330" i="20" s="1"/>
  <c r="C329" i="20"/>
  <c r="G329" i="20" s="1"/>
  <c r="G328" i="20"/>
  <c r="H224" i="15"/>
  <c r="G224" i="15"/>
  <c r="B91" i="22"/>
  <c r="B146" i="22" s="1"/>
  <c r="B147" i="22" s="1"/>
  <c r="E227" i="15"/>
  <c r="F222" i="15"/>
  <c r="H225" i="15"/>
  <c r="G225" i="15"/>
  <c r="D55" i="17"/>
  <c r="D51" i="17"/>
  <c r="E51" i="17" s="1"/>
  <c r="F51" i="17" s="1"/>
  <c r="D59" i="17"/>
  <c r="D58" i="17"/>
  <c r="D50" i="17"/>
  <c r="E50" i="17" s="1"/>
  <c r="F50" i="17" s="1"/>
  <c r="D54" i="17"/>
  <c r="E54" i="17" s="1"/>
  <c r="F54" i="17" s="1"/>
  <c r="D57" i="17"/>
  <c r="D56" i="17"/>
  <c r="D60" i="17"/>
  <c r="D52" i="17"/>
  <c r="E52" i="17" s="1"/>
  <c r="F52" i="17" s="1"/>
  <c r="D61" i="17"/>
  <c r="D53" i="17"/>
  <c r="E53" i="17" s="1"/>
  <c r="F53" i="17" s="1"/>
  <c r="D240" i="6"/>
  <c r="C305" i="6"/>
  <c r="G305" i="6" s="1"/>
  <c r="C304" i="6"/>
  <c r="G304" i="6" s="1"/>
  <c r="C303" i="6"/>
  <c r="G303" i="6" s="1"/>
  <c r="H226" i="15"/>
  <c r="G226" i="15"/>
  <c r="G223" i="15"/>
  <c r="H223" i="15"/>
  <c r="C113" i="21"/>
  <c r="C114" i="21"/>
  <c r="E58" i="17" l="1"/>
  <c r="F58" i="17" s="1"/>
  <c r="F66" i="17"/>
  <c r="E66" i="17"/>
  <c r="E60" i="17"/>
  <c r="F60" i="17" s="1"/>
  <c r="E57" i="17"/>
  <c r="F57" i="17" s="1"/>
  <c r="E59" i="17"/>
  <c r="F59" i="17" s="1"/>
  <c r="E64" i="17"/>
  <c r="F64" i="17" s="1"/>
  <c r="E68" i="17"/>
  <c r="F68" i="17" s="1"/>
  <c r="F55" i="17"/>
  <c r="E55" i="17"/>
  <c r="E69" i="17"/>
  <c r="F69" i="17" s="1"/>
  <c r="E65" i="17"/>
  <c r="F65" i="17" s="1"/>
  <c r="E61" i="17"/>
  <c r="F61" i="17" s="1"/>
  <c r="E62" i="17"/>
  <c r="F62" i="17" s="1"/>
  <c r="E70" i="17"/>
  <c r="F70" i="17" s="1"/>
  <c r="F67" i="17"/>
  <c r="E67" i="17"/>
  <c r="E56" i="17"/>
  <c r="F56" i="17" s="1"/>
  <c r="E63" i="17"/>
  <c r="F63" i="17" s="1"/>
  <c r="D10" i="2"/>
  <c r="B16" i="20"/>
  <c r="E12" i="21"/>
  <c r="C680" i="20"/>
  <c r="B25" i="20" s="1"/>
  <c r="H585" i="20"/>
  <c r="G585" i="20"/>
  <c r="E587" i="20"/>
  <c r="F583" i="20"/>
  <c r="F587" i="20" s="1"/>
  <c r="D619" i="20" s="1"/>
  <c r="H584" i="20"/>
  <c r="G584" i="20"/>
  <c r="H586" i="20"/>
  <c r="G586" i="20"/>
  <c r="G582" i="20"/>
  <c r="H582" i="20"/>
  <c r="D15" i="24"/>
  <c r="D32" i="24" s="1"/>
  <c r="H26" i="1" s="1"/>
  <c r="D348" i="24"/>
  <c r="D534" i="6"/>
  <c r="E558" i="6" s="1"/>
  <c r="H16" i="1"/>
  <c r="F389" i="2"/>
  <c r="G389" i="2" s="1"/>
  <c r="E394" i="2"/>
  <c r="G393" i="2"/>
  <c r="D345" i="2"/>
  <c r="D346" i="2" s="1"/>
  <c r="G346" i="2" s="1"/>
  <c r="D451" i="2"/>
  <c r="D456" i="2" s="1"/>
  <c r="D457" i="2" s="1"/>
  <c r="E323" i="2"/>
  <c r="F323" i="2" s="1"/>
  <c r="G323" i="2" s="1"/>
  <c r="C15" i="2"/>
  <c r="E322" i="2"/>
  <c r="F322" i="2" s="1"/>
  <c r="G322" i="2" s="1"/>
  <c r="E324" i="2"/>
  <c r="F324" i="2" s="1"/>
  <c r="G324" i="2" s="1"/>
  <c r="E326" i="2"/>
  <c r="F326" i="2" s="1"/>
  <c r="H326" i="2" s="1"/>
  <c r="E325" i="2"/>
  <c r="F325" i="2" s="1"/>
  <c r="G325" i="2" s="1"/>
  <c r="G390" i="2"/>
  <c r="G392" i="2"/>
  <c r="H391" i="2"/>
  <c r="G333" i="2"/>
  <c r="H333" i="2"/>
  <c r="G334" i="2"/>
  <c r="H334" i="2"/>
  <c r="G335" i="2"/>
  <c r="H335" i="2"/>
  <c r="H331" i="2"/>
  <c r="G331" i="2"/>
  <c r="E336" i="2"/>
  <c r="F332" i="2"/>
  <c r="F336" i="2" s="1"/>
  <c r="E457" i="2"/>
  <c r="E452" i="2"/>
  <c r="F314" i="2"/>
  <c r="G314" i="2" s="1"/>
  <c r="F315" i="2"/>
  <c r="G315" i="2" s="1"/>
  <c r="F317" i="2"/>
  <c r="F316" i="2"/>
  <c r="F313" i="2"/>
  <c r="G313" i="2" s="1"/>
  <c r="F170" i="15"/>
  <c r="E175" i="15"/>
  <c r="C115" i="21"/>
  <c r="G249" i="24"/>
  <c r="E578" i="20"/>
  <c r="F573" i="20"/>
  <c r="H576" i="20"/>
  <c r="G576" i="20"/>
  <c r="G574" i="20"/>
  <c r="H574" i="20"/>
  <c r="E280" i="6"/>
  <c r="F280" i="6" s="1"/>
  <c r="E277" i="6"/>
  <c r="C285" i="6"/>
  <c r="C286" i="6" s="1"/>
  <c r="C287" i="6" s="1"/>
  <c r="C288" i="6" s="1"/>
  <c r="E279" i="6"/>
  <c r="F279" i="6" s="1"/>
  <c r="E281" i="6"/>
  <c r="F281" i="6" s="1"/>
  <c r="C332" i="6"/>
  <c r="C333" i="6" s="1"/>
  <c r="C327" i="6"/>
  <c r="C328" i="6" s="1"/>
  <c r="E278" i="6"/>
  <c r="F278" i="6" s="1"/>
  <c r="E17" i="15"/>
  <c r="H103" i="21"/>
  <c r="H108" i="21" s="1"/>
  <c r="G103" i="21"/>
  <c r="G108" i="21" s="1"/>
  <c r="F108" i="21"/>
  <c r="H575" i="20"/>
  <c r="G575" i="20"/>
  <c r="H577" i="20"/>
  <c r="G577" i="20"/>
  <c r="C614" i="20"/>
  <c r="C307" i="20"/>
  <c r="C308" i="20" s="1"/>
  <c r="E300" i="20"/>
  <c r="F300" i="20" s="1"/>
  <c r="E299" i="20"/>
  <c r="F299" i="20" s="1"/>
  <c r="E302" i="20"/>
  <c r="F302" i="20" s="1"/>
  <c r="C358" i="20"/>
  <c r="C359" i="20" s="1"/>
  <c r="C353" i="20"/>
  <c r="C354" i="20" s="1"/>
  <c r="E301" i="20"/>
  <c r="F301" i="20" s="1"/>
  <c r="E298" i="20"/>
  <c r="E95" i="22"/>
  <c r="F95" i="22" s="1"/>
  <c r="E98" i="22"/>
  <c r="F98" i="22" s="1"/>
  <c r="C102" i="22"/>
  <c r="C103" i="22" s="1"/>
  <c r="E96" i="22"/>
  <c r="F96" i="22" s="1"/>
  <c r="B151" i="22"/>
  <c r="B152" i="22" s="1"/>
  <c r="C164" i="22" s="1"/>
  <c r="E11" i="22" s="1"/>
  <c r="E97" i="22"/>
  <c r="F97" i="22" s="1"/>
  <c r="E94" i="22"/>
  <c r="H249" i="24"/>
  <c r="G332" i="20"/>
  <c r="G306" i="6"/>
  <c r="F227" i="15"/>
  <c r="C236" i="15" s="1"/>
  <c r="H222" i="15"/>
  <c r="H227" i="15" s="1"/>
  <c r="G222" i="15"/>
  <c r="G227" i="15" s="1"/>
  <c r="F77" i="17" l="1"/>
  <c r="H389" i="2"/>
  <c r="H394" i="2" s="1"/>
  <c r="D452" i="2"/>
  <c r="D469" i="2" s="1"/>
  <c r="G15" i="6"/>
  <c r="G17" i="6" s="1"/>
  <c r="E52" i="6" s="1"/>
  <c r="G52" i="6" s="1"/>
  <c r="H52" i="6" s="1"/>
  <c r="I52" i="6" s="1"/>
  <c r="C373" i="20"/>
  <c r="E697" i="20"/>
  <c r="E24" i="20"/>
  <c r="E27" i="20" s="1"/>
  <c r="G583" i="20"/>
  <c r="G587" i="20" s="1"/>
  <c r="H583" i="20"/>
  <c r="H587" i="20" s="1"/>
  <c r="F80" i="17"/>
  <c r="H46" i="1" s="1"/>
  <c r="F394" i="2"/>
  <c r="E409" i="2" s="1"/>
  <c r="E14" i="2" s="1"/>
  <c r="E345" i="6"/>
  <c r="G326" i="2"/>
  <c r="G327" i="2" s="1"/>
  <c r="H322" i="2"/>
  <c r="G394" i="2"/>
  <c r="H324" i="2"/>
  <c r="E327" i="2"/>
  <c r="H325" i="2"/>
  <c r="E469" i="2"/>
  <c r="G332" i="2"/>
  <c r="G336" i="2" s="1"/>
  <c r="H332" i="2"/>
  <c r="H336" i="2" s="1"/>
  <c r="F327" i="2"/>
  <c r="D409" i="2" s="1"/>
  <c r="D14" i="2" s="1"/>
  <c r="G316" i="2"/>
  <c r="H316" i="2"/>
  <c r="H317" i="2"/>
  <c r="G317" i="2"/>
  <c r="H315" i="2"/>
  <c r="H313" i="2"/>
  <c r="H314" i="2"/>
  <c r="H323" i="2"/>
  <c r="F318" i="2"/>
  <c r="C409" i="2" s="1"/>
  <c r="C489" i="2" s="1"/>
  <c r="G170" i="15"/>
  <c r="G175" i="15" s="1"/>
  <c r="H170" i="15"/>
  <c r="H175" i="15" s="1"/>
  <c r="F175" i="15"/>
  <c r="C117" i="21"/>
  <c r="C615" i="20"/>
  <c r="C310" i="20"/>
  <c r="C309" i="20"/>
  <c r="H281" i="6"/>
  <c r="G281" i="6"/>
  <c r="H279" i="6"/>
  <c r="G279" i="6"/>
  <c r="H97" i="22"/>
  <c r="G97" i="22"/>
  <c r="E282" i="6"/>
  <c r="F277" i="6"/>
  <c r="F282" i="6" s="1"/>
  <c r="D290" i="6" s="1"/>
  <c r="E362" i="6" s="1"/>
  <c r="F364" i="6" s="1"/>
  <c r="F578" i="20"/>
  <c r="H573" i="20"/>
  <c r="H578" i="20" s="1"/>
  <c r="G573" i="20"/>
  <c r="G578" i="20" s="1"/>
  <c r="H280" i="6"/>
  <c r="G280" i="6"/>
  <c r="E99" i="22"/>
  <c r="F94" i="22"/>
  <c r="C105" i="22"/>
  <c r="C104" i="22"/>
  <c r="E67" i="6"/>
  <c r="G67" i="6" s="1"/>
  <c r="H67" i="6" s="1"/>
  <c r="I67" i="6" s="1"/>
  <c r="E79" i="6"/>
  <c r="G79" i="6" s="1"/>
  <c r="H79" i="6" s="1"/>
  <c r="I79" i="6" s="1"/>
  <c r="G278" i="6"/>
  <c r="H278" i="6"/>
  <c r="G98" i="22"/>
  <c r="H98" i="22"/>
  <c r="H95" i="22"/>
  <c r="G95" i="22"/>
  <c r="H302" i="20"/>
  <c r="G302" i="20"/>
  <c r="H300" i="20"/>
  <c r="G300" i="20"/>
  <c r="H96" i="22"/>
  <c r="G96" i="22"/>
  <c r="E303" i="20"/>
  <c r="F298" i="20"/>
  <c r="H299" i="20"/>
  <c r="G299" i="20"/>
  <c r="H301" i="20"/>
  <c r="G301" i="20"/>
  <c r="E489" i="2" l="1"/>
  <c r="D15" i="2"/>
  <c r="D489" i="2"/>
  <c r="E58" i="6"/>
  <c r="G58" i="6" s="1"/>
  <c r="H58" i="6" s="1"/>
  <c r="I58" i="6" s="1"/>
  <c r="E55" i="6"/>
  <c r="G55" i="6" s="1"/>
  <c r="H55" i="6" s="1"/>
  <c r="I55" i="6" s="1"/>
  <c r="E57" i="6"/>
  <c r="G57" i="6" s="1"/>
  <c r="H57" i="6" s="1"/>
  <c r="I57" i="6" s="1"/>
  <c r="E62" i="6"/>
  <c r="G62" i="6" s="1"/>
  <c r="H62" i="6" s="1"/>
  <c r="I62" i="6" s="1"/>
  <c r="E60" i="6"/>
  <c r="G60" i="6" s="1"/>
  <c r="H60" i="6" s="1"/>
  <c r="I60" i="6" s="1"/>
  <c r="E73" i="6"/>
  <c r="G73" i="6" s="1"/>
  <c r="H73" i="6" s="1"/>
  <c r="I73" i="6" s="1"/>
  <c r="E68" i="6"/>
  <c r="G68" i="6" s="1"/>
  <c r="H68" i="6" s="1"/>
  <c r="I68" i="6" s="1"/>
  <c r="E77" i="6"/>
  <c r="G77" i="6" s="1"/>
  <c r="H77" i="6" s="1"/>
  <c r="I77" i="6" s="1"/>
  <c r="E74" i="6"/>
  <c r="G74" i="6" s="1"/>
  <c r="H74" i="6" s="1"/>
  <c r="I74" i="6" s="1"/>
  <c r="E71" i="6"/>
  <c r="E59" i="6"/>
  <c r="G59" i="6" s="1"/>
  <c r="H59" i="6" s="1"/>
  <c r="I59" i="6" s="1"/>
  <c r="E75" i="6"/>
  <c r="G75" i="6" s="1"/>
  <c r="H75" i="6" s="1"/>
  <c r="I75" i="6" s="1"/>
  <c r="E76" i="6"/>
  <c r="E80" i="6"/>
  <c r="G80" i="6" s="1"/>
  <c r="H80" i="6" s="1"/>
  <c r="I80" i="6" s="1"/>
  <c r="E63" i="6"/>
  <c r="G63" i="6" s="1"/>
  <c r="H63" i="6" s="1"/>
  <c r="I63" i="6" s="1"/>
  <c r="E54" i="6"/>
  <c r="G54" i="6" s="1"/>
  <c r="H54" i="6" s="1"/>
  <c r="I54" i="6" s="1"/>
  <c r="E61" i="6"/>
  <c r="E70" i="6"/>
  <c r="G70" i="6" s="1"/>
  <c r="H70" i="6" s="1"/>
  <c r="I70" i="6" s="1"/>
  <c r="E81" i="6"/>
  <c r="G81" i="6" s="1"/>
  <c r="H81" i="6" s="1"/>
  <c r="I81" i="6" s="1"/>
  <c r="E56" i="6"/>
  <c r="E65" i="6"/>
  <c r="G65" i="6" s="1"/>
  <c r="H65" i="6" s="1"/>
  <c r="I65" i="6" s="1"/>
  <c r="E78" i="6"/>
  <c r="G78" i="6" s="1"/>
  <c r="H78" i="6" s="1"/>
  <c r="I78" i="6" s="1"/>
  <c r="E66" i="6"/>
  <c r="E53" i="6"/>
  <c r="G53" i="6" s="1"/>
  <c r="H53" i="6" s="1"/>
  <c r="I53" i="6" s="1"/>
  <c r="E69" i="6"/>
  <c r="G69" i="6" s="1"/>
  <c r="H69" i="6" s="1"/>
  <c r="I69" i="6" s="1"/>
  <c r="E64" i="6"/>
  <c r="G64" i="6" s="1"/>
  <c r="H64" i="6" s="1"/>
  <c r="I64" i="6" s="1"/>
  <c r="E72" i="6"/>
  <c r="G72" i="6" s="1"/>
  <c r="H72" i="6" s="1"/>
  <c r="I72" i="6" s="1"/>
  <c r="B15" i="20"/>
  <c r="E11" i="21"/>
  <c r="E14" i="21" s="1"/>
  <c r="H20" i="1" s="1"/>
  <c r="C188" i="21"/>
  <c r="C619" i="20"/>
  <c r="C106" i="22"/>
  <c r="G12" i="6"/>
  <c r="G13" i="6" s="1"/>
  <c r="F56" i="6" s="1"/>
  <c r="D17" i="2"/>
  <c r="C182" i="15"/>
  <c r="D240" i="15" s="1"/>
  <c r="C14" i="2"/>
  <c r="C17" i="2" s="1"/>
  <c r="E15" i="2"/>
  <c r="E17" i="2" s="1"/>
  <c r="H327" i="2"/>
  <c r="H318" i="2"/>
  <c r="G318" i="2"/>
  <c r="C311" i="20"/>
  <c r="H277" i="6"/>
  <c r="H282" i="6" s="1"/>
  <c r="G277" i="6"/>
  <c r="G282" i="6" s="1"/>
  <c r="F303" i="20"/>
  <c r="H298" i="20"/>
  <c r="H303" i="20" s="1"/>
  <c r="G298" i="20"/>
  <c r="G303" i="20" s="1"/>
  <c r="H94" i="22"/>
  <c r="H99" i="22" s="1"/>
  <c r="F99" i="22"/>
  <c r="G94" i="22"/>
  <c r="G99" i="22" s="1"/>
  <c r="G56" i="6" l="1"/>
  <c r="C315" i="20"/>
  <c r="C697" i="20"/>
  <c r="B24" i="20"/>
  <c r="B27" i="20" s="1"/>
  <c r="B109" i="22"/>
  <c r="E10" i="22" s="1"/>
  <c r="E19" i="2"/>
  <c r="E16" i="15"/>
  <c r="E19" i="15" s="1"/>
  <c r="E21" i="15" s="1"/>
  <c r="H9" i="1" s="1"/>
  <c r="D310" i="15"/>
  <c r="B14" i="20" l="1"/>
  <c r="B17" i="20" s="1"/>
  <c r="E30" i="20" s="1"/>
  <c r="C416" i="20"/>
  <c r="H56" i="6"/>
  <c r="I56" i="6" s="1"/>
  <c r="E13" i="22"/>
  <c r="E17" i="22" s="1"/>
  <c r="H22" i="1" s="1"/>
  <c r="C180" i="22"/>
  <c r="F76" i="6" l="1"/>
  <c r="G76" i="6" s="1"/>
  <c r="H76" i="6" s="1"/>
  <c r="I76" i="6" s="1"/>
  <c r="F66" i="6"/>
  <c r="G66" i="6" s="1"/>
  <c r="H66" i="6" s="1"/>
  <c r="I66" i="6" s="1"/>
  <c r="F71" i="6"/>
  <c r="G71" i="6" s="1"/>
  <c r="H71" i="6" s="1"/>
  <c r="I71" i="6" s="1"/>
  <c r="F61" i="6"/>
  <c r="G61" i="6" s="1"/>
  <c r="H61" i="6" s="1"/>
  <c r="I61" i="6" s="1"/>
  <c r="H18" i="1"/>
  <c r="I82" i="6" l="1"/>
  <c r="I84" i="6" s="1"/>
  <c r="G34" i="6" s="1"/>
  <c r="H42" i="1" s="1"/>
  <c r="H49" i="1" s="1"/>
  <c r="H7" i="1" l="1"/>
  <c r="H29" i="1" l="1"/>
  <c r="H36" i="1" l="1"/>
  <c r="H35" i="1"/>
  <c r="H34" i="1"/>
  <c r="H33" i="1"/>
  <c r="H32" i="1"/>
  <c r="H37" i="1" l="1"/>
  <c r="H51" i="1" s="1"/>
  <c r="J54" i="1" s="1"/>
  <c r="J5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Garrett Smith</author>
  </authors>
  <commentList>
    <comment ref="C87" authorId="0" shapeId="0" xr:uid="{00000000-0006-0000-0400-000001000000}">
      <text>
        <r>
          <rPr>
            <b/>
            <sz val="9"/>
            <color indexed="81"/>
            <rFont val="Tahoma"/>
            <family val="2"/>
          </rPr>
          <t>Garrett Smith:</t>
        </r>
        <r>
          <rPr>
            <sz val="9"/>
            <color indexed="81"/>
            <rFont val="Tahoma"/>
            <family val="2"/>
          </rPr>
          <t xml:space="preserve">
Includes slope directly below the crest and the lower segment of slope near the Leach Pad and Misc. area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Garrett Smith</author>
  </authors>
  <commentList>
    <comment ref="G50" authorId="0" shapeId="0" xr:uid="{00000000-0006-0000-0B00-000001000000}">
      <text>
        <r>
          <rPr>
            <b/>
            <sz val="9"/>
            <color indexed="81"/>
            <rFont val="Tahoma"/>
            <family val="2"/>
          </rPr>
          <t>Garrett Smith:</t>
        </r>
        <r>
          <rPr>
            <sz val="9"/>
            <color indexed="81"/>
            <rFont val="Tahoma"/>
            <family val="2"/>
          </rPr>
          <t xml:space="preserve">
This assumes the bond was received and invested in 2025, although not needed until 2030. This row has been adjusted for inflation and growth from 2026 to 2030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Mitchell Flynn</author>
  </authors>
  <commentList>
    <comment ref="C45" authorId="0" shapeId="0" xr:uid="{00000000-0006-0000-1200-000001000000}">
      <text>
        <r>
          <rPr>
            <b/>
            <sz val="9"/>
            <color indexed="81"/>
            <rFont val="Tahoma"/>
            <family val="2"/>
          </rPr>
          <t>Mitchell Flynn:</t>
        </r>
        <r>
          <rPr>
            <sz val="9"/>
            <color indexed="81"/>
            <rFont val="Tahoma"/>
            <family val="2"/>
          </rPr>
          <t xml:space="preserve">
Unit rate based on 2020 RSMeans Heavy Construction, Drilling and Blasting Rock, assuming blasting mats are required, over 1,500 CY</t>
        </r>
      </text>
    </comment>
    <comment ref="B94" authorId="0" shapeId="0" xr:uid="{00000000-0006-0000-1200-000002000000}">
      <text>
        <r>
          <rPr>
            <b/>
            <sz val="9"/>
            <color indexed="81"/>
            <rFont val="Tahoma"/>
            <family val="2"/>
          </rPr>
          <t>Mitchell Flynn:</t>
        </r>
        <r>
          <rPr>
            <sz val="9"/>
            <color indexed="81"/>
            <rFont val="Tahoma"/>
            <family val="2"/>
          </rPr>
          <t xml:space="preserve">
Only one loader required for the basic task of loading the hauler. One additional loader used for ripping surface prior to loading. </t>
        </r>
      </text>
    </comment>
  </commentList>
</comments>
</file>

<file path=xl/sharedStrings.xml><?xml version="1.0" encoding="utf-8"?>
<sst xmlns="http://schemas.openxmlformats.org/spreadsheetml/2006/main" count="3866" uniqueCount="1584">
  <si>
    <t>MONTANA RESOURCES, LLP</t>
  </si>
  <si>
    <t>OPERATING PERMIT</t>
  </si>
  <si>
    <t>Acreage</t>
  </si>
  <si>
    <t>Schedule</t>
  </si>
  <si>
    <t>West Embankment</t>
  </si>
  <si>
    <t>Soil</t>
  </si>
  <si>
    <t>Alluvium</t>
  </si>
  <si>
    <t>Post Closure Management and Monitoring</t>
  </si>
  <si>
    <t>Capping Materials Volume Required</t>
  </si>
  <si>
    <t>Moulton Road</t>
  </si>
  <si>
    <t>Bunker (Four Corners)</t>
  </si>
  <si>
    <t>East Continental</t>
  </si>
  <si>
    <t>Cental Zone</t>
  </si>
  <si>
    <t>Lunch Room</t>
  </si>
  <si>
    <t>Leach Capping</t>
  </si>
  <si>
    <t>References:</t>
  </si>
  <si>
    <t>Montana Resources Final EIS, August 2019</t>
  </si>
  <si>
    <t>Montana Resources Continental Mine Operations Plan, January 2019</t>
  </si>
  <si>
    <t>Montana Resources Amendment to Operating Permit, May 2018</t>
  </si>
  <si>
    <t>EquipmentWatch Cost Reference Guide, Online Version</t>
  </si>
  <si>
    <t>Montana Davis Macon Prevailing Wage Rates for Heavy Construction Services 2019, Effective January 26, 2019</t>
  </si>
  <si>
    <t>RS Means/Gordian Heavy Construction Costs 2019, 33rd Edition</t>
  </si>
  <si>
    <t>Task 1 Reclaim N-S  Embankment</t>
  </si>
  <si>
    <t>Task 2  Reclaim E-W  Embankment</t>
  </si>
  <si>
    <t>Task 3 Reclaim West Embankment</t>
  </si>
  <si>
    <t>State of Nevada Standardized Reclamation Cost Estimator (SRCE), Version 1.4.1</t>
  </si>
  <si>
    <t>Montana Resources Yankee Doodle Tailings Impoundment  Design Basis Report, September 2017</t>
  </si>
  <si>
    <t>Assumptions/Observations:</t>
  </si>
  <si>
    <t>The embankment is constructed using downstream construction method with heavy rock fill</t>
  </si>
  <si>
    <t>The N-S Embankment is constructed in 50 to 100-ft lifts of waste rock at the angle of repose</t>
  </si>
  <si>
    <t>The total cut, fill, and rehandle volume is (LCY)</t>
  </si>
  <si>
    <t>The cut, fill, and rehandle volume assumes every particle of waste rock is handled twice</t>
  </si>
  <si>
    <t>Based on the location of the Montana Resources Mine, and the relative size of the reclamation project, it is assumed that the contractor would have</t>
  </si>
  <si>
    <t>the following equipment and support personnel available:</t>
  </si>
  <si>
    <t>1 - CAT 6020B Hydraulic Shovel</t>
  </si>
  <si>
    <t>4 - CAT D10T Bulldozers</t>
  </si>
  <si>
    <t>2 - CAT D8T Bulldozer</t>
  </si>
  <si>
    <t>3 - CAT 740, 40 Ton Articulating Haul Trucks</t>
  </si>
  <si>
    <t>10 - CAT 777, 100 Ton Haul Trucks</t>
  </si>
  <si>
    <t>1 - CAT 14H Motor Grader</t>
  </si>
  <si>
    <t>1 - CAT 980 Wheel Loader</t>
  </si>
  <si>
    <t>1 - Cat 992G Wheel Loader</t>
  </si>
  <si>
    <t>1 - Cat 330 Hydraulic Excavator</t>
  </si>
  <si>
    <t>1 - Tractor Truck w/ Equipment Trailers</t>
  </si>
  <si>
    <t>1 - 2,500 Gal Water Truck</t>
  </si>
  <si>
    <t>1- CAT D6R Dozer</t>
  </si>
  <si>
    <t>Note, equipment use is site specific and not all used at once</t>
  </si>
  <si>
    <t>It's assumed reclamation work would be conducted in two shifts, 12 hours per day each, 5 days per week, 50 weeks per year</t>
  </si>
  <si>
    <t>Machine Properties</t>
  </si>
  <si>
    <t>Machine</t>
  </si>
  <si>
    <t>D10T</t>
  </si>
  <si>
    <t>Blade</t>
  </si>
  <si>
    <t>SU</t>
  </si>
  <si>
    <t>Dual Tilt</t>
  </si>
  <si>
    <t>Yes</t>
  </si>
  <si>
    <t>% Availability</t>
  </si>
  <si>
    <t>Wt (LBS)</t>
  </si>
  <si>
    <t>Shoe Width (IN)</t>
  </si>
  <si>
    <t>Density (LBS/LCY)</t>
  </si>
  <si>
    <t>Dozeability</t>
  </si>
  <si>
    <t>Derating Factors</t>
  </si>
  <si>
    <t>Attitude</t>
  </si>
  <si>
    <t>Visibility</t>
  </si>
  <si>
    <t>Job Effi</t>
  </si>
  <si>
    <t>Skill Level</t>
  </si>
  <si>
    <t>Input Values</t>
  </si>
  <si>
    <t>Push Distance (FT)</t>
  </si>
  <si>
    <t>Push Slope</t>
  </si>
  <si>
    <t>Volume of Material (LCY)</t>
  </si>
  <si>
    <t>Output Values</t>
  </si>
  <si>
    <t>Productivity (LCY/HR)</t>
  </si>
  <si>
    <t>Total Hours (1 machine)</t>
  </si>
  <si>
    <t>Total Hours (4 machines)</t>
  </si>
  <si>
    <t>Total Cost (4 machines)</t>
  </si>
  <si>
    <t>Equipment Selection</t>
  </si>
  <si>
    <t>Equipment</t>
  </si>
  <si>
    <t>Labor</t>
  </si>
  <si>
    <t>Increase</t>
  </si>
  <si>
    <t>Enter Profit:</t>
  </si>
  <si>
    <t>EquipmentWatch</t>
  </si>
  <si>
    <t>Profit</t>
  </si>
  <si>
    <t>State Wages</t>
  </si>
  <si>
    <t>O &amp; P</t>
  </si>
  <si>
    <t>Total</t>
  </si>
  <si>
    <t>over 1997</t>
  </si>
  <si>
    <t>(1)</t>
  </si>
  <si>
    <t>(2)</t>
  </si>
  <si>
    <t>(3)</t>
  </si>
  <si>
    <t>(4)</t>
  </si>
  <si>
    <t>rates</t>
  </si>
  <si>
    <t>WHEEL AND CRAWLER TRACTORS</t>
  </si>
  <si>
    <t>Manufacturer</t>
  </si>
  <si>
    <t>Model</t>
  </si>
  <si>
    <t>CAT</t>
  </si>
  <si>
    <t>D11T</t>
  </si>
  <si>
    <t>U</t>
  </si>
  <si>
    <t>Semi-U</t>
  </si>
  <si>
    <t>D9T</t>
  </si>
  <si>
    <t>D8T</t>
  </si>
  <si>
    <t>D6T</t>
  </si>
  <si>
    <t>WHEEL AND CRAWLER LOADERS</t>
  </si>
  <si>
    <t>Bucket (CY)</t>
  </si>
  <si>
    <t>EXCAVATORS</t>
  </si>
  <si>
    <t>385C</t>
  </si>
  <si>
    <t>BACKHOES LOADERS</t>
  </si>
  <si>
    <t>CAT (2WD)</t>
  </si>
  <si>
    <t>CAT (4WD)</t>
  </si>
  <si>
    <t>430E</t>
  </si>
  <si>
    <t>SCRAPERS</t>
  </si>
  <si>
    <t>Capacity (CY)</t>
  </si>
  <si>
    <t>631K</t>
  </si>
  <si>
    <t>24/34</t>
  </si>
  <si>
    <t>627K</t>
  </si>
  <si>
    <t>16/22</t>
  </si>
  <si>
    <t>32/44</t>
  </si>
  <si>
    <t>MOTOR-GRADERS</t>
  </si>
  <si>
    <t>Blade (FT)</t>
  </si>
  <si>
    <t>14</t>
  </si>
  <si>
    <t>12</t>
  </si>
  <si>
    <t>WATER TRUCKS</t>
  </si>
  <si>
    <t>Capacity (Gal)</t>
  </si>
  <si>
    <t>Water</t>
  </si>
  <si>
    <t>OFF-HWY (DIESEL)</t>
  </si>
  <si>
    <t>HAUL TRUCKS</t>
  </si>
  <si>
    <t>Capacity (LCY)</t>
  </si>
  <si>
    <t>Diesel Powered</t>
  </si>
  <si>
    <t>6x4</t>
  </si>
  <si>
    <t>10-12</t>
  </si>
  <si>
    <t>8x4</t>
  </si>
  <si>
    <t>15-18</t>
  </si>
  <si>
    <t>770G</t>
  </si>
  <si>
    <t>777G</t>
  </si>
  <si>
    <t>725C</t>
  </si>
  <si>
    <t>14-19</t>
  </si>
  <si>
    <t>730C</t>
  </si>
  <si>
    <t>17-22</t>
  </si>
  <si>
    <t>735C</t>
  </si>
  <si>
    <t>19-26</t>
  </si>
  <si>
    <t>24-31</t>
  </si>
  <si>
    <t>MISC</t>
  </si>
  <si>
    <t>Truck Tractor w/Equipment Trailer</t>
  </si>
  <si>
    <t>LABOR FORCE W/PU</t>
  </si>
  <si>
    <t>Capacity (Tons)</t>
  </si>
  <si>
    <t>Service Truck w/Laborer</t>
  </si>
  <si>
    <t>4X4 Crew Cab</t>
  </si>
  <si>
    <t>1 1/2</t>
  </si>
  <si>
    <t>Superintendent w/PU</t>
  </si>
  <si>
    <t>4x4 Conventional</t>
  </si>
  <si>
    <t>1</t>
  </si>
  <si>
    <t>Laborer</t>
  </si>
  <si>
    <t>NOTES:</t>
  </si>
  <si>
    <t>(1)  This rate is internal rate charge - total ownership, overhead and operating cost from EquipmentWatch's</t>
  </si>
  <si>
    <t>Cost Reference Guide for Construction Equipment</t>
  </si>
  <si>
    <t>(2)  Profit of 10 percent of the base rate is assumed.</t>
  </si>
  <si>
    <t>(3)  Wages are derived from the prevailing wage plus fringe benefits obtained from the</t>
  </si>
  <si>
    <t xml:space="preserve">(4)  An overhead and profit of 49.42% has been applied to the wage rate.  This </t>
  </si>
  <si>
    <t>percentage was obtained from RS Means Heavy Construction Cost Data for 2019</t>
  </si>
  <si>
    <t xml:space="preserve">This includes average worker's compensation of 7.12%, (ref. MT State Fund Code 6217) an average fixed </t>
  </si>
  <si>
    <t>overhead of 18.3%, overhead of 14%, and a profit of 10%.</t>
  </si>
  <si>
    <t>Construct Surface Water Collection Ditches</t>
  </si>
  <si>
    <t>Assumptions:</t>
  </si>
  <si>
    <t>After the slopes are recontoured to the final configuration, a survey party will locate the surface water ditches</t>
  </si>
  <si>
    <t>To construct the ditches along the slope, a D8T dozer would walk back out to the slopes, and using the blade push the muck downslope creating a berm with a "U" bottom</t>
  </si>
  <si>
    <t>Based on discussion with another mining company, a D8T dozer can cut, shape, and finish blading 100 feet of ditch per hour</t>
  </si>
  <si>
    <t>A survey party fee of 15% is also included</t>
  </si>
  <si>
    <t>Estimated Length of Surface Water Ditches (FT)</t>
  </si>
  <si>
    <t>D8T Production Rate (FT/HR)</t>
  </si>
  <si>
    <t>Job Hours (HR)</t>
  </si>
  <si>
    <t>Total Construction Cost</t>
  </si>
  <si>
    <t>15% Survey Party Fee</t>
  </si>
  <si>
    <t>Total Cost</t>
  </si>
  <si>
    <t>Construct Surface Water Collection Ditches, Total Cost</t>
  </si>
  <si>
    <t>Contingency Volume (15% extra)(LCY)</t>
  </si>
  <si>
    <t>The density of the alluvium (LBS/LCY)</t>
  </si>
  <si>
    <t>The estimated weight of alluvium to cover the embankment (TONS)</t>
  </si>
  <si>
    <t>DEQ assumes that the Cat 6020B Hydraulic Excavator and 10-Cat 777 Haul Trucks will be used to mine, load, and haul the alluvium</t>
  </si>
  <si>
    <t>In addition, the following support equipment will be with the alluvium haul operation full time</t>
  </si>
  <si>
    <t>Cat 16H Grader</t>
  </si>
  <si>
    <t>2,500 Gal Water Truck</t>
  </si>
  <si>
    <t>CAT D8T Bulldozer</t>
  </si>
  <si>
    <t>Haul &amp; Spread Alluvium</t>
  </si>
  <si>
    <t>According to the application the Central Zone alluvium will be salvaged for reclamation material</t>
  </si>
  <si>
    <t>6040B</t>
  </si>
  <si>
    <t>Hauler Cycle Time (MIN)</t>
  </si>
  <si>
    <t>Load with Exchange</t>
  </si>
  <si>
    <t>Haul</t>
  </si>
  <si>
    <t>Dump and Maneuver</t>
  </si>
  <si>
    <t>Return</t>
  </si>
  <si>
    <t>Potential Cycle Time</t>
  </si>
  <si>
    <t>Wait on Slow Hauler</t>
  </si>
  <si>
    <t>Wait to Load, Bunching AVG</t>
  </si>
  <si>
    <t>Bunching Calc</t>
  </si>
  <si>
    <t>Total Cycle Time (MIN)</t>
  </si>
  <si>
    <t>Cycles per 60 min Hour (CYCLES/HR)</t>
  </si>
  <si>
    <t>Loader Cycle Time (MIN)</t>
  </si>
  <si>
    <t>Load Time Truck (MIN)</t>
  </si>
  <si>
    <t>Number of Trucks Required (EA)</t>
  </si>
  <si>
    <t>Production Rate (LCY/MIN)</t>
  </si>
  <si>
    <t>Hourly Production (LCY/HR)</t>
  </si>
  <si>
    <t xml:space="preserve">Efficiency Factor </t>
  </si>
  <si>
    <t xml:space="preserve">Availability </t>
  </si>
  <si>
    <t>Adjusted Hourly Production (LCY/HR)</t>
  </si>
  <si>
    <t>Hours Required (HR)</t>
  </si>
  <si>
    <t>Qty</t>
  </si>
  <si>
    <t>Operating Hours</t>
  </si>
  <si>
    <t>$ per Ton</t>
  </si>
  <si>
    <t>$ per LCY</t>
  </si>
  <si>
    <t>Loaders:</t>
  </si>
  <si>
    <t>Haulers:</t>
  </si>
  <si>
    <t>Support:</t>
  </si>
  <si>
    <t xml:space="preserve"> </t>
  </si>
  <si>
    <t>Haul 13,200 feet One Way, Total Resistance 10%</t>
  </si>
  <si>
    <t>Cat Edition 45 p.10-55 Cat 777G Haul Truck Rimpull-Speed-Gradeability Curve Loaded Speed (MPH)</t>
  </si>
  <si>
    <t>Cat Edition 45 p.10-55 Cat 777G Haul Truck Rimpull-Speed-Gradeability Curve Empty Speed (MPH)</t>
  </si>
  <si>
    <t>Hourly Cost Each Unit</t>
  </si>
  <si>
    <t>$ Total</t>
  </si>
  <si>
    <t>6020B</t>
  </si>
  <si>
    <t>777D</t>
  </si>
  <si>
    <t>14H Motor Grader</t>
  </si>
  <si>
    <t>2,500 gal Water Truck</t>
  </si>
  <si>
    <t>Fleet Totals</t>
  </si>
  <si>
    <t>Cat 777G Average Capacity (LCY)</t>
  </si>
  <si>
    <t>6020B Passes per Hauler</t>
  </si>
  <si>
    <t># of Trucks (loader capabilities)</t>
  </si>
  <si>
    <t>Hauler Potential Production Per Hour (LCY/HR)</t>
  </si>
  <si>
    <t>Spreading Alluvium</t>
  </si>
  <si>
    <t>Hauling Hours (HR)</t>
  </si>
  <si>
    <t>Equipment Cost</t>
  </si>
  <si>
    <t>Cat D10T</t>
  </si>
  <si>
    <t>Haul &amp; Spread Alluvium, Total Cost</t>
  </si>
  <si>
    <t># of Trucks (hauler capabilities)</t>
  </si>
  <si>
    <t>Alluvium Testing &amp; Amendment</t>
  </si>
  <si>
    <t>MR submitted a plan on 8/23 &amp; 9/20/02 to DEQ for a 2002 reclamation program of the Woodville Dump</t>
  </si>
  <si>
    <t>The plan was a modification to the Reclamation Plan and given minor revision number (MR 02-001)</t>
  </si>
  <si>
    <t>DEQ assumes the following Central Zone alluvium sampling and analysis schedule</t>
  </si>
  <si>
    <t>Analyses</t>
  </si>
  <si>
    <t>Volume of Soil (LCY)</t>
  </si>
  <si>
    <t>Frequency (LCY)</t>
  </si>
  <si>
    <t>Cost ($)</t>
  </si>
  <si>
    <t>Shipping ($)</t>
  </si>
  <si>
    <t>Total Cost ($)</t>
  </si>
  <si>
    <t>Paste pH</t>
  </si>
  <si>
    <t>in house</t>
  </si>
  <si>
    <t>Total Metals ICP Scan</t>
  </si>
  <si>
    <t>Cu &amp; Zn</t>
  </si>
  <si>
    <t>Organic Content</t>
  </si>
  <si>
    <t>And 1.5% organic matter by weight or 23 tons per acre is also require</t>
  </si>
  <si>
    <t>Based on recent sampling data, the Central Zone alluvium will not required a lime amendment</t>
  </si>
  <si>
    <t>The compost is stored at a central location, assume $5/CY extra to move it to where it will be spread</t>
  </si>
  <si>
    <t>The Estimated Compost Cost</t>
  </si>
  <si>
    <t>Area  (AC)</t>
  </si>
  <si>
    <t>Density of Compost (LBS/CY)</t>
  </si>
  <si>
    <t>Cost per CY delivered to Butte ($/CY)</t>
  </si>
  <si>
    <t>Total Cost of Compost</t>
  </si>
  <si>
    <t>The number of work hours for the soil scientist is equal to the scheduled hours for the alluvium spreading operation</t>
  </si>
  <si>
    <t>A portable soil testing trailer will be rented for laboratory space, sampling equipment storage, and record keeping</t>
  </si>
  <si>
    <t>The estimated cost for a soil trailer rental is $200 per month</t>
  </si>
  <si>
    <t>The Estimated Cost for Full Time Soils Scientist</t>
  </si>
  <si>
    <t>Soil Scientist Hourly Rate ($/HR)</t>
  </si>
  <si>
    <t>Number of Hours (HR)</t>
  </si>
  <si>
    <t xml:space="preserve">Total Cost of Soils Scientist </t>
  </si>
  <si>
    <t xml:space="preserve">The Estimated Cost for a Soils Trailer </t>
  </si>
  <si>
    <t>Soils Trailer Monthly Rate ($/MO)</t>
  </si>
  <si>
    <t>Number of Months (MO)</t>
  </si>
  <si>
    <t>Total Cost for Trailer</t>
  </si>
  <si>
    <t>After spreading, the compost will be incorporated into the top 4 inches using a harrow that is drag along behind the seeder</t>
  </si>
  <si>
    <t>The Estimated Cost Spreading Compost</t>
  </si>
  <si>
    <t>2 - Cat D8T Dozer Production (AC/HR)</t>
  </si>
  <si>
    <t>Job Hours - 2 Cat D8T (HR)</t>
  </si>
  <si>
    <t>Total Cost D8T</t>
  </si>
  <si>
    <t>Alluvium Testing &amp; Amendment, Total Cost</t>
  </si>
  <si>
    <t>Based on the Application, very little soil has been stockpiled, therefore DEQ will assumes the Central Zone alluvium will be salvaged for reclamation material</t>
  </si>
  <si>
    <t>The estimated cost for a qualified soil scientist (with a pickup), from a Consulting Firm, is $150 per hour</t>
  </si>
  <si>
    <t>To spread the compost, piles are built up along the embankment crest and pushed down slope with a D8T dozer</t>
  </si>
  <si>
    <t>Establish Vegetation &amp; Weed Control</t>
  </si>
  <si>
    <t>Estimated Vegetation &amp; Weed Control Cost ($/AC)</t>
  </si>
  <si>
    <t>Establish Vegetation &amp; Weed Control, Total Cost</t>
  </si>
  <si>
    <t>Alluvium Testing &amp; Amendments</t>
  </si>
  <si>
    <t>The seeding is accomplished using a small dozer with a seeder attached to the front and a harrow pulled behind.</t>
  </si>
  <si>
    <t>Direct Costs</t>
  </si>
  <si>
    <t>0+00  W</t>
  </si>
  <si>
    <t>03+00 W</t>
  </si>
  <si>
    <t>08+00 W</t>
  </si>
  <si>
    <t>12+00 W</t>
  </si>
  <si>
    <t>18+00 NW</t>
  </si>
  <si>
    <t>23+00 NW</t>
  </si>
  <si>
    <t>28+00 NW</t>
  </si>
  <si>
    <t>33+00 NW</t>
  </si>
  <si>
    <t>38+00 NW</t>
  </si>
  <si>
    <t>43+00 NW</t>
  </si>
  <si>
    <t>48+00 NW</t>
  </si>
  <si>
    <t>53+00 NW</t>
  </si>
  <si>
    <t>Adjusted Productivity (LCY/HR)</t>
  </si>
  <si>
    <t>Rip Crest</t>
  </si>
  <si>
    <t>Rip Crest, Total Cost</t>
  </si>
  <si>
    <t>D10T Ripping Production (AC/HR)</t>
  </si>
  <si>
    <t>Assume a D10T dozer ripping production of 1/2 acre per hour</t>
  </si>
  <si>
    <t>The section of the embankment adjacent to the Precipitation Plant will be resloped to 2H:1V and capped with 20 inches of alluvium</t>
  </si>
  <si>
    <t>The section very close to the Precipitation Plant will be covered with course rockfill (riprap) that is nonacid generating sourced from off-site</t>
  </si>
  <si>
    <t>The reclamation plan calls for downstream embankment slope to be reduced to  either a 2H:1V or 2.7H:1V slope and capping with 20 inches of amended alluvium</t>
  </si>
  <si>
    <t>The cut, fill, and rehandle volume per foot of crest length from AOR(LCY/FT)</t>
  </si>
  <si>
    <t>(Ref Exhibit 3)</t>
  </si>
  <si>
    <t>Construct Rip Rap Slope by Precipitation Plant</t>
  </si>
  <si>
    <t>Estimated Volume of Rip Rap Required (LCY)</t>
  </si>
  <si>
    <t>The rip rap slope protection would be placed just along the toe of the embankment 2,000 feet long by 200 feet high by 3 feet thick</t>
  </si>
  <si>
    <t>The rip rap is placed by end dumping, with bulldozer assistance and machine placed with a clamsheel bucket</t>
  </si>
  <si>
    <t>Construct Rip Rap Slope by Precipitation Plant, Total Cost</t>
  </si>
  <si>
    <t>DEQ assume two-Cat D8T dozers will be used to spread the compost at a production rate of 1/4 acre per hour</t>
  </si>
  <si>
    <t>MR's reclamation cover soil recipe can be found in Table 9-2 of the application</t>
  </si>
  <si>
    <t>Based on the Application, very little soil has been stockpiled, it is assumed the Central Zone alluvium will be salvaged for reclamation material</t>
  </si>
  <si>
    <t>That recipe is used on the Yankee Doodle Tailings Impoundment reclamation</t>
  </si>
  <si>
    <t>The estimated haul distance at a 4% grade (FT)</t>
  </si>
  <si>
    <t>The downstream West Embankment abuts against (toes into) native ground , therefore no surface water ditches will be necessary</t>
  </si>
  <si>
    <t>According to the application soil will be sourced from the Central Zone, Lunch Room Stockpile, or the Moulton Road Stockpiles</t>
  </si>
  <si>
    <t>Topsoil Thickness (inches)</t>
  </si>
  <si>
    <t>Volume of Alluvium (LCY)</t>
  </si>
  <si>
    <t>Volume of Topsoil (LCY)</t>
  </si>
  <si>
    <t>The estimated haul distance at a 0% grade (FT)</t>
  </si>
  <si>
    <t>The density of the topsoil (LBS/LCY)</t>
  </si>
  <si>
    <t>(Moulton RoadTopsoil)</t>
  </si>
  <si>
    <t>(Central Zone Alluvium)</t>
  </si>
  <si>
    <t>Since the topsoil stockpiles are close to the West Embankment, smaller equipment can be used</t>
  </si>
  <si>
    <t xml:space="preserve">Assume a Cat 980G loader and three Cat 740 Articulating trucks are used to load and transfere the soil to the embankment </t>
  </si>
  <si>
    <t>Cat Edition 45 p.1-24 Cat 740 Haul Truck Rimpull-Speed-Gradeability Curve Loaded Speed (MPH)</t>
  </si>
  <si>
    <t>Cat Edition 45 p.1-24 Cat 740 Haul Truck Rimpull-Speed-Gradeability Curve Empty Speed (MPH)</t>
  </si>
  <si>
    <t>Cat 740 Average Capacity (LCY)</t>
  </si>
  <si>
    <t>Cat 980 Passes per Hauler</t>
  </si>
  <si>
    <t>With respect to spreading the topsoil, assume one Cat 8T is with the hauling operation at twice the hauling hours</t>
  </si>
  <si>
    <t>Cat D8T</t>
  </si>
  <si>
    <t>The estimated volume of topsoil to cover the alluvium (LCY)</t>
  </si>
  <si>
    <t>Task 3 Reclaim Tailings Beach</t>
  </si>
  <si>
    <t>Task 1 Monitor Tailings Surface During Drying</t>
  </si>
  <si>
    <t>Task 2 Dust Control</t>
  </si>
  <si>
    <t>If dust is detected, MR is required to implement it dust control plan (see Task 2)</t>
  </si>
  <si>
    <t>At shut down, all the processing fluids and remaining tailings from the mill circuit are discharged to the impoundment</t>
  </si>
  <si>
    <t>The tailings are allowed to dry naturally and consolidate, therefore are susceptible to wind erosion</t>
  </si>
  <si>
    <t>The tailings beach and Transition Zone would incrementally exposed by dewatering as the pond is reduced</t>
  </si>
  <si>
    <t>Reclamation of beach and Transition Zone would be incrementally capping and revegetation as areas become accessible</t>
  </si>
  <si>
    <t>The tailings beach will gradually slope away from the embankment to the north at a typical slope of one percent</t>
  </si>
  <si>
    <t>Some topographic diversity will be created by final spigot placement</t>
  </si>
  <si>
    <t>To reshape the settlement area a low ground pressure Cat D6T dozer would be used</t>
  </si>
  <si>
    <t>The cost to place the full cap is include in "Haul &amp; Spread Alluvium" task located below</t>
  </si>
  <si>
    <t>Closure includes dewatering the impoundment via seepage to the WED and Horseshoe Bend, as well as evaporation</t>
  </si>
  <si>
    <t>To prevent wind erosion, the full cap is placed over the CLOSURE tailings surface</t>
  </si>
  <si>
    <t>Table 7-1     Estimated Annual YDTI Tailings Beach, Transition Zone, and Pond Areas</t>
  </si>
  <si>
    <t>Year</t>
  </si>
  <si>
    <t>Closure Area1</t>
  </si>
  <si>
    <t>Reclaimable Tailings Beach
(acres)</t>
  </si>
  <si>
    <t>Pond
(acres)</t>
  </si>
  <si>
    <t>Transition Zone
(acres)</t>
  </si>
  <si>
    <r>
      <t>2060</t>
    </r>
    <r>
      <rPr>
        <sz val="6"/>
        <color indexed="8"/>
        <rFont val="Calibri"/>
        <family val="1"/>
        <charset val="204"/>
      </rPr>
      <t>2</t>
    </r>
  </si>
  <si>
    <r>
      <t>1</t>
    </r>
    <r>
      <rPr>
        <sz val="8"/>
        <color indexed="8"/>
        <rFont val="Calibri"/>
        <family val="1"/>
        <charset val="204"/>
      </rPr>
      <t xml:space="preserve">Based on a freshwater input of 1 MGPD.
</t>
    </r>
    <r>
      <rPr>
        <sz val="5"/>
        <color indexed="8"/>
        <rFont val="Calibri"/>
        <family val="1"/>
        <charset val="204"/>
      </rPr>
      <t>2</t>
    </r>
    <r>
      <rPr>
        <sz val="8"/>
        <color indexed="8"/>
        <rFont val="Calibri"/>
        <family val="1"/>
        <charset val="204"/>
      </rPr>
      <t>Equlibrium at 2060 is based on a modeled pond volume of 500 acre-feet .</t>
    </r>
  </si>
  <si>
    <t>Task 2 Dust Control, Total Cost</t>
  </si>
  <si>
    <t>Tailings Beach at CLOSURE, soil thickness, and volume are as follows:</t>
  </si>
  <si>
    <t>Alluvium Thickness (Inches)</t>
  </si>
  <si>
    <t>The area of Tailings Beach to get alluvium at closure(AC)</t>
  </si>
  <si>
    <t>The estimated volume of alluvium to cover beach (LCY)</t>
  </si>
  <si>
    <t>The area of Tailings Beach to get 6 inches of  topsoil (AC)</t>
  </si>
  <si>
    <t>Material Inventory (based on 2018 Annual Report)</t>
  </si>
  <si>
    <t>LCY</t>
  </si>
  <si>
    <t>The estimated weight of topsoil to cover the embankment (TONS)</t>
  </si>
  <si>
    <t>Reclamation Material Available</t>
  </si>
  <si>
    <t>Reclamation Material Needed for Reclamation</t>
  </si>
  <si>
    <t>Beach (at equilibrum)</t>
  </si>
  <si>
    <t>YDTI (at equilibrium)</t>
  </si>
  <si>
    <t>Rest of Mine</t>
  </si>
  <si>
    <t>Central Zone</t>
  </si>
  <si>
    <t>topsoil</t>
  </si>
  <si>
    <t>MCY</t>
  </si>
  <si>
    <t>capping</t>
  </si>
  <si>
    <t>Required for Reclamation</t>
  </si>
  <si>
    <t>Surplus</t>
  </si>
  <si>
    <t>Capping and Topsoil Balance (Table 9-3)</t>
  </si>
  <si>
    <t>to the top of the embankment where it would be dumped, creating a pile of capping material</t>
  </si>
  <si>
    <t xml:space="preserve">The capping material would then be loaded into the three smaller Cat 740, 40 ton trucks  and  transported out on the beach </t>
  </si>
  <si>
    <t>The smaller trucks would be loaded by the Cat 980 Wheel Loader</t>
  </si>
  <si>
    <t xml:space="preserve">It is assumed the job hours second load-haul operation (Cat 980 loader &amp; 3 Cat 740 trucks) is dependent upon, and equal to the larger </t>
  </si>
  <si>
    <t>(Cat 6020B Front Shovel &amp; 10 - Cat 777 Haul Trucks) operation, therefore the operating hours will be equal</t>
  </si>
  <si>
    <t>(see Application, Table 9-2 &amp; 9-3)</t>
  </si>
  <si>
    <t>Cat 980</t>
  </si>
  <si>
    <t>To spread the compost, piles are built up around the beach so they can be spread with a D8T dozer</t>
  </si>
  <si>
    <t>Area of Tailings Beach at Closure (AC)</t>
  </si>
  <si>
    <t>In the interim shut down period, the magnesium chloride will be applied according to their DEQ approved Dust Control Plan</t>
  </si>
  <si>
    <t>The cost to apply magnesuim chloride are included in Interim Management and Post Closure segment of this bond</t>
  </si>
  <si>
    <t>To identify areas suitable for capping, a LiDAR or Aerial Platform Mapping survey will be performed every 5 years</t>
  </si>
  <si>
    <t>Inaddition to the LiDAR or Aerial Platform mapping, the Beach, Transition Zone, and water level are monitored monthly to assess the potential to disperse dust</t>
  </si>
  <si>
    <t>Task 1 Monitor Tailings Surface During Drying, Total Cost</t>
  </si>
  <si>
    <t>While no final grading is anticipated, it will be necessary to backfill and shape settlement areas BEFORE SOIL IS PLACED</t>
  </si>
  <si>
    <t>The extra volume of waste rock or alluvium is based on experiences at Golden Sunlight Mine</t>
  </si>
  <si>
    <t xml:space="preserve">DEQ estimates 5% to 10% of the tailings beach will required extra waste rock or alluvium backfill </t>
  </si>
  <si>
    <t>The Cat D6T would chisel off the sides, push tailings or fill into the settlement void</t>
  </si>
  <si>
    <t>Backfill and Shape Settlement Areas</t>
  </si>
  <si>
    <t>To account for the overtime pay, a payroll cost factor of 110% is applied (ref. RS Means Heavy Construction Cost Data for 2019, page 705)</t>
  </si>
  <si>
    <t>(see Interim Maintenance and Post Closure Task)</t>
  </si>
  <si>
    <t>Reslope Dump Slopes and Top</t>
  </si>
  <si>
    <t>$/CY</t>
  </si>
  <si>
    <t>Total Hours (2 machines)</t>
  </si>
  <si>
    <t>Total Cost (2 machines)</t>
  </si>
  <si>
    <t>2 - Cat D10T Dozer Production (AC/HR)</t>
  </si>
  <si>
    <t>Job Hours - 2 Cat D10R (HR)</t>
  </si>
  <si>
    <t>Total Cost D10R</t>
  </si>
  <si>
    <t>Reslope Dump Slopes and Top, Total Cost</t>
  </si>
  <si>
    <t>It is assumed that the operation will work 5 days a week 10 hours per day (40 reg hrs +10 overtime hours @ 1.5 the hourly rate)</t>
  </si>
  <si>
    <t>Well depth information gathered from Table 4-1 in September 2017 OP Amendment Application</t>
  </si>
  <si>
    <t>Depth (ft)</t>
  </si>
  <si>
    <t>MW 12-11</t>
  </si>
  <si>
    <t>MW 12-12</t>
  </si>
  <si>
    <t>MW 12-13</t>
  </si>
  <si>
    <t>MW 12-14</t>
  </si>
  <si>
    <t>MW 12-15</t>
  </si>
  <si>
    <t>MW 12-16</t>
  </si>
  <si>
    <t>MW 12-17</t>
  </si>
  <si>
    <t>MW 12-18</t>
  </si>
  <si>
    <t>MW 15-01</t>
  </si>
  <si>
    <t>MW 15-02</t>
  </si>
  <si>
    <t>MW 15-03</t>
  </si>
  <si>
    <t>MW 15-04</t>
  </si>
  <si>
    <t>MW 15-05</t>
  </si>
  <si>
    <t>MW 15-06</t>
  </si>
  <si>
    <t>MW 15-07</t>
  </si>
  <si>
    <t>MW 15-08</t>
  </si>
  <si>
    <t>MW 15-09</t>
  </si>
  <si>
    <t>MW 15-10</t>
  </si>
  <si>
    <t>MW 15-11</t>
  </si>
  <si>
    <t>MW 15-12</t>
  </si>
  <si>
    <t>MW 15-13</t>
  </si>
  <si>
    <t>MW 16-01</t>
  </si>
  <si>
    <t>MW 16-02D</t>
  </si>
  <si>
    <t>MW 16-02S</t>
  </si>
  <si>
    <t>Pads (acres)</t>
  </si>
  <si>
    <t>Roads (acres)</t>
  </si>
  <si>
    <t>Existing</t>
  </si>
  <si>
    <t>Pre-2015</t>
  </si>
  <si>
    <t>West Ridge Monitoring Wells (taken from Exploration License #00711 bond calculation)</t>
  </si>
  <si>
    <t>Unreclaimed disturbances from this project will be bonded under the Operating Permit</t>
  </si>
  <si>
    <t>Here is a list of West Ridge Monitoring Wells that are being rolled into the Operating Permit</t>
  </si>
  <si>
    <t>Great Falls Coal Fields Water Treatment Assessment, March 2012, Prepared for DEQ by Hydrometerics</t>
  </si>
  <si>
    <t>5 Year Periodic Costs</t>
  </si>
  <si>
    <t>Capital Costs</t>
  </si>
  <si>
    <t xml:space="preserve">Annual O&amp;M </t>
  </si>
  <si>
    <t>inflation rate, I =</t>
  </si>
  <si>
    <t>discount rate, r =</t>
  </si>
  <si>
    <t>Nominal</t>
  </si>
  <si>
    <t>Value</t>
  </si>
  <si>
    <t>Present</t>
  </si>
  <si>
    <t>Water Quality Monitoring Sites</t>
  </si>
  <si>
    <t>The 2018 ground water monitoring program includes water quality sampling at 24 sites</t>
  </si>
  <si>
    <t>Sampling Frequency (Times/Year)</t>
  </si>
  <si>
    <t>Number of Sites (EA)</t>
  </si>
  <si>
    <t>Number of Samples per Year (Samples/Year)</t>
  </si>
  <si>
    <t>Estimated Cost per Sample ($/EA)</t>
  </si>
  <si>
    <t>Rate</t>
  </si>
  <si>
    <t>Quantity</t>
  </si>
  <si>
    <t>Cost</t>
  </si>
  <si>
    <t>Project Manager</t>
  </si>
  <si>
    <t>Staff Scientist/Sr. Field Tech</t>
  </si>
  <si>
    <t>Admin Support</t>
  </si>
  <si>
    <t>CAD/Drafting</t>
  </si>
  <si>
    <t>Supplies</t>
  </si>
  <si>
    <t>Sample Shipping</t>
  </si>
  <si>
    <t>Report Preparation</t>
  </si>
  <si>
    <t>Reproduction &amp; graphics</t>
  </si>
  <si>
    <t>Labor Related Costs</t>
  </si>
  <si>
    <t>Hourly Rate ($/hr)</t>
  </si>
  <si>
    <t>Annual Salary ($/yr)</t>
  </si>
  <si>
    <t>Project Engineer</t>
  </si>
  <si>
    <t>Clerical and Administration</t>
  </si>
  <si>
    <t>Water Treatment Plant Operator</t>
  </si>
  <si>
    <t>Mechanic</t>
  </si>
  <si>
    <t>Laborers</t>
  </si>
  <si>
    <t>Security Personnel</t>
  </si>
  <si>
    <t>General Contractor (Earth Works) Management Personnel</t>
  </si>
  <si>
    <t>Prinicpal in Charge</t>
  </si>
  <si>
    <t>Site Engineer</t>
  </si>
  <si>
    <t>Health and Safety Officer</t>
  </si>
  <si>
    <t>Superintendent</t>
  </si>
  <si>
    <t>Service Mechanic</t>
  </si>
  <si>
    <t>Third Party Construction Management Cost Reconciliation</t>
  </si>
  <si>
    <t>CDM</t>
  </si>
  <si>
    <t>Tetra Tech</t>
  </si>
  <si>
    <t>Ch2M Hill</t>
  </si>
  <si>
    <t>Envirocon</t>
  </si>
  <si>
    <t>Water Treatment Plant Operator/Field Engineer</t>
  </si>
  <si>
    <t>Footnotes:</t>
  </si>
  <si>
    <t>1.  GSA Federal Supply Contractor Price List (2013-2014)</t>
  </si>
  <si>
    <t>2.  Eliminate high and low rates, average the balance</t>
  </si>
  <si>
    <r>
      <t>Category</t>
    </r>
    <r>
      <rPr>
        <vertAlign val="superscript"/>
        <sz val="11"/>
        <rFont val="Calibri"/>
        <family val="2"/>
        <scheme val="minor"/>
      </rPr>
      <t>1</t>
    </r>
  </si>
  <si>
    <r>
      <t>Avg</t>
    </r>
    <r>
      <rPr>
        <u/>
        <vertAlign val="superscript"/>
        <sz val="11"/>
        <rFont val="Calibri"/>
        <family val="2"/>
        <scheme val="minor"/>
      </rPr>
      <t>2</t>
    </r>
  </si>
  <si>
    <t xml:space="preserve">Contract Admin Labor Breakdown </t>
  </si>
  <si>
    <t>Field Work Per Sampling Event</t>
  </si>
  <si>
    <t>Each sampling event will take 7 days at  10 hrs per day</t>
  </si>
  <si>
    <t>Field Technician (2)</t>
  </si>
  <si>
    <t>The estimated cost to ship an cooler overnight  to the lab is $100</t>
  </si>
  <si>
    <t>Field Technician(2)</t>
  </si>
  <si>
    <t>There are two sampling events per year</t>
  </si>
  <si>
    <t>The technical staff requires 40 hours to prepare the final report per sampling event</t>
  </si>
  <si>
    <t>Management requires 4 hours to review and edit the report per sampling event</t>
  </si>
  <si>
    <t>Report prep support 4 hours</t>
  </si>
  <si>
    <t>Report production 8 hours</t>
  </si>
  <si>
    <t>Total Year Sampling Cost ($/YEAR)</t>
  </si>
  <si>
    <t>Sample Shipping Cost ($/YEAR)</t>
  </si>
  <si>
    <t xml:space="preserve">Care &amp; Maintenance &amp; Water Quality Sampling Oversight Team_3rd Party A&amp;E </t>
  </si>
  <si>
    <t>MR and KP began implementation of a remote monitoring system in June 2018</t>
  </si>
  <si>
    <t>Vibrating wire piezometer data is transmitted from the monitoring sites to an on-line system via cellular and radio connection</t>
  </si>
  <si>
    <t>Data is viewable in live-time on Sensemetrics online system</t>
  </si>
  <si>
    <t>The system allows for alerts to be programed for sites</t>
  </si>
  <si>
    <t>Trigger elevations can be set and  and email notifications can be sent to MR and KP</t>
  </si>
  <si>
    <t>The system allows for live-time assessment of YDTI sites and West Ridge hydrodynamic containment</t>
  </si>
  <si>
    <t>According to the Q2 2019 Quarterly Piezometer Monitoring Report there are 100 active instruments located on the TDTI and in the West Ridge</t>
  </si>
  <si>
    <t>This includes 39 standpipes piezometes/monitoring wells and 61 drillholes with vibrating wire piezometers (VWP) which are connected to the Remote Monitoring System</t>
  </si>
  <si>
    <t>In Q1 2020, 9 more VWP will be added</t>
  </si>
  <si>
    <t>Select standpipes and VWP have been as Quantitative Performance Parameters (QPP) in the TOMS Manual and are used to assess the performance of the YDTI</t>
  </si>
  <si>
    <t>The third party engineering firm would provide an analysis of monitoring data on a quarterly basis</t>
  </si>
  <si>
    <t>Estimated yearly cost to retain a third party enginnering firm is $25,000 per year</t>
  </si>
  <si>
    <t>Those mapping cost are included in the Interim Management and Post Closure segment of this bond</t>
  </si>
  <si>
    <t>During the POST CLOSURE period,  besides DEQ and MR, a third party engineering firm will be needed to evaluate the transmitted data</t>
  </si>
  <si>
    <t>The purpose of this segment of the bond is to capture all the costs in the Post Closure period according to the reclamation schedule</t>
  </si>
  <si>
    <t>Task 1</t>
  </si>
  <si>
    <t>Task 2</t>
  </si>
  <si>
    <t xml:space="preserve"> Embankment Piezometer Monitoring</t>
  </si>
  <si>
    <t>Contract Admin Labor Breakdown, Total Cost ($/YEAR)</t>
  </si>
  <si>
    <t>Field Work, Total Cost ($/YEAR)</t>
  </si>
  <si>
    <t>Sample Shipping, Total Cost</t>
  </si>
  <si>
    <t>All the samples from one event can fit into 4 coolers</t>
  </si>
  <si>
    <t>Report Preparation ($/YEAR)</t>
  </si>
  <si>
    <t>Embankment Piezometer Monitoring, Total Cost ($/YEAR)</t>
  </si>
  <si>
    <t>The long term monitoring sites include the Water Quality monitoring sites and Embankment Piezometers</t>
  </si>
  <si>
    <t>Water Quality Monitoring Sites, Total Cost ($/YEAR)</t>
  </si>
  <si>
    <t>The post closure beach and pond acreage will change following closure as the pond drains</t>
  </si>
  <si>
    <t>closure</t>
  </si>
  <si>
    <t>To identify areas suitable for capping, ar Aerial Platform Mapping survey will be performed every 5 years</t>
  </si>
  <si>
    <t>Inaddition to Aerial Platform (Drone) mapping, the Beach, Transition Zone, and water level are monitored monthly to assess the potential to disperse dust</t>
  </si>
  <si>
    <t>The $10,000 includes post processing and map printing</t>
  </si>
  <si>
    <t>Based on recent cost information, the estimated cost per survey is $10,000 per 5 year</t>
  </si>
  <si>
    <t>Embankment Piezometer Monitoring</t>
  </si>
  <si>
    <t>So only a small area of tailings will be open and suscepable to wind erosion</t>
  </si>
  <si>
    <t>To control the dust, inspections of the impoundment area throughout the day and if necessary safe application of dust suppressant</t>
  </si>
  <si>
    <t>If deemed applicable and safe, dust suppressant, such as Magnesium Chloride, will be applied using the Terramac RT9</t>
  </si>
  <si>
    <t>Deployment of the Terramac, requires two operators to maneuver the machine</t>
  </si>
  <si>
    <t>Dust suppressant is applied to the tailings beach surface at varying application rates</t>
  </si>
  <si>
    <t>The hourly rate for the two operators are included under the Site Maintenance task</t>
  </si>
  <si>
    <t>The Magnesium Chloride costs $5.00 per gallon and 1,600 gallons are applied at one time</t>
  </si>
  <si>
    <t>Assume the Terramac is only deployed  one time per year</t>
  </si>
  <si>
    <t>Magnesium Chloride</t>
  </si>
  <si>
    <t>Meterological station</t>
  </si>
  <si>
    <t>DEQ assumes that a Cat 6020B Hydraulic Excavator and 10-Cat 777 Haul Trucks will be used to mine, load, and haul the alluvium</t>
  </si>
  <si>
    <t>Contractor Truck Availability(EA)</t>
  </si>
  <si>
    <t>Cat 345D Excavator Passes per Hauler</t>
  </si>
  <si>
    <t>Cat 345D</t>
  </si>
  <si>
    <t>Average Area of Tailings Beach During Post Closure (AC)</t>
  </si>
  <si>
    <t>Post Closure Acreage</t>
  </si>
  <si>
    <t>DEQ assume one Cat D8T dozers will be used to spread the compost at a production rate of 1/4 acre per hour</t>
  </si>
  <si>
    <t>Job Hours - Cat D8T (HR)</t>
  </si>
  <si>
    <t>The capping material would be mined in the Certal Zone, then hauled up to the beach, probably from the West Side, and dumped into piles</t>
  </si>
  <si>
    <t>Spreading the alluvium is accomplished with a Cat 8T - assume the operating hours equal to the truck hours hauling the alluvium</t>
  </si>
  <si>
    <t>The exposed tailings beach would be covered with 28 inches of alluvium</t>
  </si>
  <si>
    <t>(.45 min cycle time)</t>
  </si>
  <si>
    <t>Haul &amp; Spread Alluvium Per 5 Year Period</t>
  </si>
  <si>
    <t>Haul &amp; Spread Alluvium Per 5 Year Period ($/5 YEARS)</t>
  </si>
  <si>
    <t>Cat D8T Dozer Production (AC/HR)</t>
  </si>
  <si>
    <t>Alluvium Testing &amp; Amendment Per 5 Year Period</t>
  </si>
  <si>
    <t>Establish Vegetation &amp; Weed Control Per 5 Year Period</t>
  </si>
  <si>
    <t>Establish Vegetation &amp; Weed Control Per 5 Year Period ($/5 YEARS)</t>
  </si>
  <si>
    <t>Reclaim Tailing Beach Per 5 Year Period, Total Cost ($/5 YEARS)</t>
  </si>
  <si>
    <t>Monitor Tailings Surface During Drying, Total Cost ($/5 YEAR)</t>
  </si>
  <si>
    <t>Monitor Tailings Surface During Drying Per 5 Year Period</t>
  </si>
  <si>
    <t>Dust Control Per 5 Year Period</t>
  </si>
  <si>
    <t>Estimated 5 Year Cost:</t>
  </si>
  <si>
    <t>Dust Control Per 5 Year Period, Total Cost ($/5 YEARS)</t>
  </si>
  <si>
    <t>Task 1 Incrementally Reclaim Tailings Beach Per 5 Year Period</t>
  </si>
  <si>
    <t>Task 1 Incrementally Reclaim Exposed Tailings Beach Per 5 Year Period</t>
  </si>
  <si>
    <t>Task 2 Long Term Monitoring Sites Per Year</t>
  </si>
  <si>
    <t>Task 2 Long Term Monitoring Sites Per Year, Total Cost ($/YEAR)</t>
  </si>
  <si>
    <t>Task 4 Plug WED</t>
  </si>
  <si>
    <t>The design is located in KP's Reclamation Overview Design Document, Appendix B</t>
  </si>
  <si>
    <t>The spillway was modeled as a trapezoid channel cut into bedrock on the left abutment of the YDTI embankment</t>
  </si>
  <si>
    <t>The excavated channel will extend 5,000 feet southward to a point where local topography creates a flow path to the Continental Pit</t>
  </si>
  <si>
    <t>The conceptual spillway intake and channel are as follows:</t>
  </si>
  <si>
    <t>Max Discharge (CFS)</t>
  </si>
  <si>
    <t>Task 3 Construct Spillway at Closure</t>
  </si>
  <si>
    <t>The company provided a conceptual post closure spillway design as part of the permit application</t>
  </si>
  <si>
    <t>A detailed design will be undertaken once the facility closure is imminent and closure conditions are available</t>
  </si>
  <si>
    <t>Task 3 Construct Spillway at Closure, Total Cost</t>
  </si>
  <si>
    <t>After closure, seepage to a flow through the WED will steadly decrease as the impoundment drains down and the pond level decreases</t>
  </si>
  <si>
    <t>The WED is designed to transmit 4,500 gallons per minute</t>
  </si>
  <si>
    <t>The drain rock is approximately 7 feet thick and 43 feet wide</t>
  </si>
  <si>
    <t>The cross sectional area is 300 Square Feet</t>
  </si>
  <si>
    <t>-grouting the section of the drain through the topographic boundary "Rocky Knob"</t>
  </si>
  <si>
    <t>The depth to WED invert from embankment crest is 110 feet</t>
  </si>
  <si>
    <t>A total of 80 piles are required</t>
  </si>
  <si>
    <t>Based on data provided in RS Means (Section A10 Foundations) Cast-in-Place Concrete Piles</t>
  </si>
  <si>
    <t>To stop the flow,  4 rows of Cast-in-Place piles 2 feet apart across the WED are necessary</t>
  </si>
  <si>
    <t>Based on cost data provided by RS Means, one row of Cast-in-Place piles will cost $125,000 each</t>
  </si>
  <si>
    <t>Assuming 4 rows are required, the total cost is $500,000</t>
  </si>
  <si>
    <t>Task 4 Plug WED, Total Cost</t>
  </si>
  <si>
    <t>Install Submersible Pumps in Extraction Basins</t>
  </si>
  <si>
    <t>Maintain Electrical System for Extraction Basin</t>
  </si>
  <si>
    <t>Repair or Clean out the Extraction Pond</t>
  </si>
  <si>
    <t>The nature and extent of the repair or clean out work is unknown, so a yearly cost of $50,000 is assumed</t>
  </si>
  <si>
    <t>Repair or Clean out the Extraction Pond Per Year, Total Cost ($/YEAR)</t>
  </si>
  <si>
    <t xml:space="preserve">The electrical systems need to be maintained on the west side to run the two subermersible pumps in the Extraction Basin </t>
  </si>
  <si>
    <t>Assume a yearly cost of $10,000 to maintain the electrical systems on the west side</t>
  </si>
  <si>
    <t>Based on cost data obtained from RS Means (22 14 2100) one submersible pump cost  approximately $16,000</t>
  </si>
  <si>
    <t>The estimated total cost is</t>
  </si>
  <si>
    <t>Maintain Electrical System for Extraction Basin Per Year, Total Cost ($/YEAR)</t>
  </si>
  <si>
    <t>Install Submersible Pumps in Extraction Basins Per Year, Total Cost ($/YEAR)</t>
  </si>
  <si>
    <t>The Extraction Basin pump intake assemble is operational but the pumps have not been purchased</t>
  </si>
  <si>
    <t>The Extraction Basin discharge pipeline assemble has NOT been installed</t>
  </si>
  <si>
    <t>The Extraction Basin pumping system, two 2,250 gpm submersible pumps, have NOT been purchased</t>
  </si>
  <si>
    <t>Electrical Costs estimated at $10,000 per year</t>
  </si>
  <si>
    <t>The Extraction Basin was in the designed to have an operations ready alternative pumping option</t>
  </si>
  <si>
    <t>The discharge pipeline with a pressure transducer, air release valve, and flow meter is estimated to cost another $10,000 each</t>
  </si>
  <si>
    <t>Annual Salary</t>
  </si>
  <si>
    <t>1/2 - Site Manager</t>
  </si>
  <si>
    <t>1 - Site Engineer</t>
  </si>
  <si>
    <t>2 - Site Security Officers</t>
  </si>
  <si>
    <t>1 - Administrative Aide</t>
  </si>
  <si>
    <t>1 - Laborer (surface)</t>
  </si>
  <si>
    <t>1 - Mechanic</t>
  </si>
  <si>
    <t>Annual Cost</t>
  </si>
  <si>
    <t>4 - Site Pickup Trucks (including fuel &amp; maintenance) ($/YR)</t>
  </si>
  <si>
    <t>Heavy Equipment Rental</t>
  </si>
  <si>
    <t>Site Maintenance Supplies</t>
  </si>
  <si>
    <t>Office Space, Operating Supplies &amp; Misc</t>
  </si>
  <si>
    <t>Annual repair, maintainace, replacement, and upgrade of the system would be necessary</t>
  </si>
  <si>
    <t>Maintaining and Periodically Replace Piezometers and Cellular Connection</t>
  </si>
  <si>
    <t>The nature and extent of the work repair/replace/upgrade work is unknown, so an annual cost of $25,000 is assumed</t>
  </si>
  <si>
    <t>Maintaining and Periodically Replace Piezometers and Cellular Connection Per Year, Total Cost ($/YEAR)</t>
  </si>
  <si>
    <t>The WED was designed to operate with continious pumping at the Extraction Pond at a design flow of 4,500 gpm</t>
  </si>
  <si>
    <t>The 8 key people include:</t>
  </si>
  <si>
    <t>1 - Site Manager</t>
  </si>
  <si>
    <t>2 - Laborer (surface)</t>
  </si>
  <si>
    <t>Total Personnel</t>
  </si>
  <si>
    <t>Hourly Rate</t>
  </si>
  <si>
    <t>The 8 people would be needed to cover the mine site 24 hours a day, 7 days a week</t>
  </si>
  <si>
    <t>A third party A&amp;E firm would be hired to do the sampling and data reporting</t>
  </si>
  <si>
    <t>Third Party Construction Management Cost Reconciliation is located under "Inputs"</t>
  </si>
  <si>
    <t>A third party A&amp;E firm would be hired to implement the approved reclamation plan</t>
  </si>
  <si>
    <t>Task 4</t>
  </si>
  <si>
    <t>Task 3</t>
  </si>
  <si>
    <t>A third party A&amp;E firm would be hired to implement the post closure reclamation plan</t>
  </si>
  <si>
    <t>Assume that 5 employees would be needed to maintain the mine site and deal with environmental problems</t>
  </si>
  <si>
    <t>The 5 people would be needed to cover the mine site 24 hours a day, 7 days a week</t>
  </si>
  <si>
    <t>The 5 key people include:</t>
  </si>
  <si>
    <t>2 - Site Pickup Trucks (including fuel &amp; maintenance) ($/YR)</t>
  </si>
  <si>
    <t xml:space="preserve"> 1- Site Security Officers</t>
  </si>
  <si>
    <t>1 - Site Security Officers</t>
  </si>
  <si>
    <t>Task 5 Site Maintenance Post Closure Per Year</t>
  </si>
  <si>
    <t>Task 5 Site Maintenance Post Closure, Total Cost Per Year ($/YEAR)</t>
  </si>
  <si>
    <t>Task 5 Site  Maintenance Post Closure Per Year</t>
  </si>
  <si>
    <t>Annual Total</t>
  </si>
  <si>
    <t>Direct Cost</t>
  </si>
  <si>
    <t>Item 2 Cost Summary for Earthwork - YDTI Beach At Closure</t>
  </si>
  <si>
    <t>Item 2 Earthwork - YDTI Beach at Closure</t>
  </si>
  <si>
    <t>Item 1 Earthwork - YDTI Embankments</t>
  </si>
  <si>
    <t>The staffing schedule for year 2 through year 5 would be as follows:</t>
  </si>
  <si>
    <t>Assume that 8 employees would be needed to monitor the earthwork contractor and implement the reclamation plan</t>
  </si>
  <si>
    <t>Total Site A&amp;E Management Cost</t>
  </si>
  <si>
    <t xml:space="preserve">Task 1 Exploration Disturbances </t>
  </si>
  <si>
    <t>The staffing schedule for the interim period would be as follows:</t>
  </si>
  <si>
    <t>A third party A&amp;E firm would be hired to monitor the site during the interim period</t>
  </si>
  <si>
    <t xml:space="preserve">The interim site maintenance activities that were identified mainly deal with controlling dust off the impoundment, </t>
  </si>
  <si>
    <t>Interim Period</t>
  </si>
  <si>
    <t>Other costs include:</t>
  </si>
  <si>
    <t>Total  4 Years A&amp;E Other Costs</t>
  </si>
  <si>
    <t>Total  1 Year A&amp;E Other Costs</t>
  </si>
  <si>
    <t>Total Annual Cost ($/YR)</t>
  </si>
  <si>
    <t>Mobilization</t>
  </si>
  <si>
    <t>N/A</t>
  </si>
  <si>
    <t>Engineering &amp; Redesign</t>
  </si>
  <si>
    <t>Contingency</t>
  </si>
  <si>
    <t xml:space="preserve">Administration </t>
  </si>
  <si>
    <t>Inflation Cost Adjustment @ 2% Per Year for 5 Years</t>
  </si>
  <si>
    <t>Subtotal</t>
  </si>
  <si>
    <t>With respect to spreading the alluvium, assume two Cat 10T are with the hauling operation equal to the hauling hours</t>
  </si>
  <si>
    <t>Haul 10,560 feet One Way, Total Resistance 5%</t>
  </si>
  <si>
    <t>(5)  O &amp; O costs based on price of diesel = $2.25/gal</t>
  </si>
  <si>
    <t>740C EJ</t>
  </si>
  <si>
    <t>14M3</t>
  </si>
  <si>
    <t>992K</t>
  </si>
  <si>
    <t>336F</t>
  </si>
  <si>
    <t>Assume the compost would come Western Reclamation Inc. in Butte at a cost of $20/CY</t>
  </si>
  <si>
    <t>YDTI Embankment Acreage by Permit, Westech December 28, 2019</t>
  </si>
  <si>
    <t>YDTI Bench/Pond by Permit, Westech December 28, 2019</t>
  </si>
  <si>
    <t>(Ref: Application Section 7.4.1.2, page 7-7)</t>
  </si>
  <si>
    <t>Contingency Volume (0% extra)(LCY)</t>
  </si>
  <si>
    <t>Since the volume of backfill and D6T reshaping is unknown assume a lump sum cost of $500,000 is necessary</t>
  </si>
  <si>
    <t>Spreading Alluvium &amp; Topsoil</t>
  </si>
  <si>
    <t>Estimated First Year Cost:</t>
  </si>
  <si>
    <t>Terramac Purchase</t>
  </si>
  <si>
    <t>Estimated Costs:</t>
  </si>
  <si>
    <t>Dust Control Per First Year, Total Cost ($)</t>
  </si>
  <si>
    <t>Task 6 Purchase Terramac (from Task 1 - Dust Control)</t>
  </si>
  <si>
    <t>Haul 17,400 feet One Way, Total Resistance 10%</t>
  </si>
  <si>
    <t>Assuming a local contractor wins the bid, and has available a Cat 345 Hydraulic Excavator and 2-Cat 740 articulating trucks to mine, load, and haul the alluvium</t>
  </si>
  <si>
    <t>Updates have since been provided by the company about estimates for pond elevations during operations:</t>
  </si>
  <si>
    <t>The information above was provided in the Amendment 010 Application and in the EIS.</t>
  </si>
  <si>
    <t>Background Hydrology:</t>
  </si>
  <si>
    <t>-</t>
  </si>
  <si>
    <t>Projected Supernatant Pond Water Level Trends during 2020-2029, Knight Piesold, February 6, 2020</t>
  </si>
  <si>
    <t>The diesel price accounts for an increase in crude prices or delivery cost</t>
  </si>
  <si>
    <t>Contractor only has 3 trucks available, see Inputs tab</t>
  </si>
  <si>
    <t>(limited by topsoil volume, no extra for contingency)</t>
  </si>
  <si>
    <t>Spreading the alluvium:</t>
  </si>
  <si>
    <t>In addition to the list of monitoring wells, there are other 19 drillholes with vibrating wire piezometers installation</t>
  </si>
  <si>
    <t>These piezometer monitoring points are included in the "Post Closure" tab</t>
  </si>
  <si>
    <t>The WED would be plugged in the case of an unforeseen closure in the next 5 year period.</t>
  </si>
  <si>
    <t xml:space="preserve">Therefore, hydrodynamic containment through use of the WED and other contingency features would not be required. </t>
  </si>
  <si>
    <t>It is assumed that the pond elevation will not exceed 6380 feet in the next 5 years, see "Water Treatment" tab</t>
  </si>
  <si>
    <t>This includes 10 hours of preparation and 10 hours of post sampling work</t>
  </si>
  <si>
    <t>Based on modeling for the next 5 years, the pond is not predicted to reach 6380 feet, therefore pumpback is not required for flow containment</t>
  </si>
  <si>
    <t>*determined unnecessary in next 5 years</t>
  </si>
  <si>
    <t>The Extraction Pond would not be needed to contain water prior to treatment and being pumped back to the YDTI pond</t>
  </si>
  <si>
    <t>According to the Reclamation Overview Design Document (page 10 of 15) the WED connection to the Extraction Pond will be decommissioned by</t>
  </si>
  <si>
    <t xml:space="preserve">Therefore, hydrodynamic containment through use of the WED and other contingency features (extraction basins) would not be required. </t>
  </si>
  <si>
    <t>Berkeley Pit</t>
  </si>
  <si>
    <t>Montana Resources Annual Report 2019, June 3, 2020</t>
  </si>
  <si>
    <t>The existing dump slope angle are at angle of repose, approximately 40 degrees</t>
  </si>
  <si>
    <t xml:space="preserve">The East Dump northern segment final top elevation is 6,300 feet </t>
  </si>
  <si>
    <t>The East Dump southern segment final top elevation is 6100 feet</t>
  </si>
  <si>
    <t>With respect to the dump-slope bulldozer work:</t>
  </si>
  <si>
    <t>Contour Interval</t>
  </si>
  <si>
    <t>Bench Height</t>
  </si>
  <si>
    <t>East Side Crest Length</t>
  </si>
  <si>
    <t>West Side Crest Length</t>
  </si>
  <si>
    <t>East Side Volume (cut &amp; fill AOR to 3H:1V slope)</t>
  </si>
  <si>
    <t>West Side Volume (cut &amp; fill AOR to 2.7H:1V slope)</t>
  </si>
  <si>
    <t>Regraded</t>
  </si>
  <si>
    <t>The total cut, fill, and rehandle volume (LCY)</t>
  </si>
  <si>
    <t>With respect to dump-top bulldozer work:</t>
  </si>
  <si>
    <t>The top of the dump is regraded to keep the water from ponding by providing drainage swales</t>
  </si>
  <si>
    <t>Since the volume of regrade is unknown, DEQ assumes a two-Cat D10 dozer production of 1/4 acre per hour each</t>
  </si>
  <si>
    <t>East Dump Dozer Production Calculation</t>
  </si>
  <si>
    <t>Job Efficiency</t>
  </si>
  <si>
    <t>East Dump-Top Dozer Production Calculation</t>
  </si>
  <si>
    <t>Area of East Dump Top (AC)</t>
  </si>
  <si>
    <t>Job Hours - 2 Cat D10T (HR)</t>
  </si>
  <si>
    <t>Total Cost D10T</t>
  </si>
  <si>
    <t>Resloping the east side (along the Clearwater Ditch) and south side (near Hillcrest Dump) to a 3H:1V slope</t>
  </si>
  <si>
    <t>Reslope the west side (along  the Continental Pit) to a 2.7H:1V slope</t>
  </si>
  <si>
    <t>Blend the north end to the North East Dump reclamation and southwest end to the Hillcrest Dump reclamation</t>
  </si>
  <si>
    <t>Reslope the top of the dump to keep the water from ponding by providing drainage swales</t>
  </si>
  <si>
    <t>The slopes of the East Dump will be covered with 20 inches of alluvium, while the top get covered with 28 inches of alluvium</t>
  </si>
  <si>
    <t>The estimated volume of alluvium to cover the East Dump is:</t>
  </si>
  <si>
    <t>Area</t>
  </si>
  <si>
    <t>Acres</t>
  </si>
  <si>
    <t>Cover Soil (IN)</t>
  </si>
  <si>
    <t>Volume of Soil Required (LCY)</t>
  </si>
  <si>
    <t>The estimated volume of alluvium to cover slopes and top of East Dump (LCY)</t>
  </si>
  <si>
    <t>The estimated weight of alluvium (TONS)</t>
  </si>
  <si>
    <t>Area of East Dump (AC)</t>
  </si>
  <si>
    <t>East Dump Slopes</t>
  </si>
  <si>
    <t>East Dump Tops</t>
  </si>
  <si>
    <t>To spread the compost, piles are built up along the dump crest and pushed down slope with a D8T dozer</t>
  </si>
  <si>
    <t>Approximately 11,000 feet of ditches will need to be constructed across the Hillcrest Dump</t>
  </si>
  <si>
    <t>The upper portion of the diches will be grassy swales, while the lower portions will be rip rap lined with a plunge pools</t>
  </si>
  <si>
    <t>The rip rap will be lined with locally derived material</t>
  </si>
  <si>
    <t>A portable screening and crushing plant will be necessary to manufacture bedding material</t>
  </si>
  <si>
    <t>Large size rip rap can be taken from onsite stockpiles</t>
  </si>
  <si>
    <t>The equipment necessary to accomplish this task includes:</t>
  </si>
  <si>
    <t>Cat 950 Loader</t>
  </si>
  <si>
    <t>Cat 740 Articulating Truck</t>
  </si>
  <si>
    <t>Cat 720 Articulating Truck</t>
  </si>
  <si>
    <t>Cat 320 Excavator</t>
  </si>
  <si>
    <t>DEQ would have to hire a 3rd party engineering firm to design the system</t>
  </si>
  <si>
    <t>Since the soils are so erosive, assume 30% of the 11,000 feet of ditch will require rip rap lining</t>
  </si>
  <si>
    <t>Engineering fee of 15% is also included</t>
  </si>
  <si>
    <t>Estimated Length of Surface Water Collection Ditches (LF)</t>
  </si>
  <si>
    <t>Estimated Length Requiring Rip Rap Lining (FT)</t>
  </si>
  <si>
    <t>Average Construction Cost per Foot ($/FT)</t>
  </si>
  <si>
    <t>15% Engineering Fee</t>
  </si>
  <si>
    <t>To fix the hot spots, DEQ assumes a small track loader would be used to dig up the poor quality soil, spread lime, and good quality soil</t>
  </si>
  <si>
    <t>The reclaimed hot spot is then seeded and weed sprayed for 5-years afterwards.</t>
  </si>
  <si>
    <t>The job hours per hot spot is estimated at 4 hour total.</t>
  </si>
  <si>
    <t>Estimated Job Hours per Hot Spot (HR)</t>
  </si>
  <si>
    <t>Number of Hot Spots (EA)</t>
  </si>
  <si>
    <t>Total Job Hours (HR)</t>
  </si>
  <si>
    <t>At the lower end, the ditches will be trapezoid shape, approximately 20 feet wide, so a 20 ton articulating truck and hydraulic excavator can place rip rap</t>
  </si>
  <si>
    <t xml:space="preserve">This calculation assumes a small Cat 725 Articulating dump truck is stationed on a haul road below each hot spot </t>
  </si>
  <si>
    <t>A small Cat excavator traverses the dump scrapes-up the poor soil and piles it next to the hot spots</t>
  </si>
  <si>
    <t>A skidsteer loader (w/rubber track) drives up from below and scoops up the poor soil and returns to the waiting dump truck</t>
  </si>
  <si>
    <t>After disposing of the poor soil, good quality soil and bags of lime are loaded into the skidsteer loader for a return trip back up the hill to the hotspot</t>
  </si>
  <si>
    <t>The good soil and lime spread using the loader and handwork</t>
  </si>
  <si>
    <t>Cat 300 Series Excavator Cost</t>
  </si>
  <si>
    <t>Cat Skidsteer w/Track</t>
  </si>
  <si>
    <t>Cat 725 Articulating Truck</t>
  </si>
  <si>
    <t>2-Laborers w/PU</t>
  </si>
  <si>
    <t>Based on field inspection, the slope angle are satisfactory, approximately 2.5 to 3H:1V slope.</t>
  </si>
  <si>
    <t>Both the top and sides of the dump required extensive resloping and regrading</t>
  </si>
  <si>
    <t>The existing dump slope angle are approximately 40 degrees</t>
  </si>
  <si>
    <t>The crest length of the dump is approximately (FT)</t>
  </si>
  <si>
    <t>The cut, fill, and rehandle volume per foot of crest length (LCY/FT)</t>
  </si>
  <si>
    <t>The estimated haul distance at 4% grade (FT)</t>
  </si>
  <si>
    <t>MR's reclamation cover soil recipe can be found in Table 9-2 of the Amendment 10 Application</t>
  </si>
  <si>
    <t>DEQ assumes that this is used on the East Dump reclamation</t>
  </si>
  <si>
    <t>Based on the 2020 Annual Report, very little soil has been stockpiled, therefore DEQ will assumes the Central Zone alluvium will be salvaged for reclamation material</t>
  </si>
  <si>
    <t>Item 1 Access Dump</t>
  </si>
  <si>
    <t xml:space="preserve">The top of the dump is regraded to keep the water from ponding by providing drainage swales </t>
  </si>
  <si>
    <t>Since the volume of regrade is unknown, DEQ assumes a two-Cat D10 dozer production rate of 1/4 acre per hour each</t>
  </si>
  <si>
    <t>Based on current maps, approximately 1,000 feet of ditches would need to be constructed across the Access Dump</t>
  </si>
  <si>
    <t>DEQ assumes that this is used on the Access Dump reclamation</t>
  </si>
  <si>
    <t>Area of Access Dump (AC)</t>
  </si>
  <si>
    <t>Task 1 Reclaim East Dump Complex</t>
  </si>
  <si>
    <t>Reslope Leach Pads</t>
  </si>
  <si>
    <t>The leach pads are not rinsed with water, they are just regraded and capped with alluvium</t>
  </si>
  <si>
    <t>Both the top and sides of the leach pads require extensive resloping and regrading</t>
  </si>
  <si>
    <t>With respect to Leach Pad - top bulldozer work:</t>
  </si>
  <si>
    <t>The top of the leach pads are regraded to keep the water from ponding by providing drainage swales</t>
  </si>
  <si>
    <t>Leach Pad Area</t>
  </si>
  <si>
    <t>Leach Pad -Top Dozer Production Calculation</t>
  </si>
  <si>
    <t>Area of Leach Pad Top (AC)</t>
  </si>
  <si>
    <t>Reslope Leach Pads, Total Cost</t>
  </si>
  <si>
    <t>Leach Pad Slopes</t>
  </si>
  <si>
    <t>Leach Pad Tops</t>
  </si>
  <si>
    <t>The estimated volume of alluvium to cover the Leach Pad is:</t>
  </si>
  <si>
    <t>The slopes of the Leach Pad will be covered with 20 inches of alluvium, while the top get covered with 28 inches of alluvium</t>
  </si>
  <si>
    <t>Haul 9,500 feet One Way, Total Resistance 4%</t>
  </si>
  <si>
    <t>Area of Leach Pads (AC)</t>
  </si>
  <si>
    <t>Item 11  Earthwork - Leach Pads, Total Cost</t>
  </si>
  <si>
    <t>Reclaim Leach Pads</t>
  </si>
  <si>
    <t>Reslope Pit Benches</t>
  </si>
  <si>
    <t>All of the slopes within the Continental Pit are reclaimed as talus slopes and highwall features</t>
  </si>
  <si>
    <t>According to the 1998 bond calculation, small areas above the 5,410 elevation will get revegetated</t>
  </si>
  <si>
    <t>The D East Pushback is located between the main Continental Pit and Interstate highway I-15</t>
  </si>
  <si>
    <t>These areas get regraded, ripped, and covered with 28 inches of alluvium, seeded, and weed sprayed.</t>
  </si>
  <si>
    <t>Since the volume of regrading and area to be ripped is unclear, DEQ assumes two-Cat D10R dozers will be used at a production rate of 1/2 acre per hour</t>
  </si>
  <si>
    <t>The Estimated Cost Regrading &amp; Ripping</t>
  </si>
  <si>
    <t>Area of Pit Reclamation (AC)</t>
  </si>
  <si>
    <t>Site</t>
  </si>
  <si>
    <t>Pit Area</t>
  </si>
  <si>
    <t>DEQ assumes that this is used for the Continental Pit reclamation</t>
  </si>
  <si>
    <t>Area of Pit reclamation (AC)</t>
  </si>
  <si>
    <t>Primary Crusher</t>
  </si>
  <si>
    <t>Powder Magazine and Explosive Storage Area</t>
  </si>
  <si>
    <t>Railroad to Precipitation Plant</t>
  </si>
  <si>
    <t>Road Associated with Pre-law Facilities</t>
  </si>
  <si>
    <t>Item 14 Miscellaneous Areas</t>
  </si>
  <si>
    <t>Area of Misc Reclamation (AC)</t>
  </si>
  <si>
    <t>2 - Cat D10R Dozer Production (AC/HR)</t>
  </si>
  <si>
    <t>Reslope Area</t>
  </si>
  <si>
    <t>The volume of resloping is unknown, therefore two-Cat D10T dozers will be used at a production rate of 1/4 acre per hour</t>
  </si>
  <si>
    <t>For the purpose of this calculation, assume  9 miles of ditches (along the roads) would need to be constructed</t>
  </si>
  <si>
    <t>Haul 5000 feet One Way, Total Resistance 4%</t>
  </si>
  <si>
    <t>DEQ assumes this recipe is used for the Miscellaneous Areas</t>
  </si>
  <si>
    <t>DEQ assumes that  recipe is used for the Leach Pad reclamation</t>
  </si>
  <si>
    <t>Size of Miscellaneous Area (AC)</t>
  </si>
  <si>
    <t>Size of Miscellaneous Areas (AC)</t>
  </si>
  <si>
    <t>The Upper Clearwater Ditch is an eroding, unlined channel along the toe of the East Dump and the embankment of Interstate 15</t>
  </si>
  <si>
    <t>The length of the eroding channel is 840 feet at which point the water enters an existing 24 inch culvert</t>
  </si>
  <si>
    <t>In October 2010, Water &amp; Environmental Techologies, PC (WET) completed a proposed underground drainage infrastructure design</t>
  </si>
  <si>
    <t>for the Upper Clearwater Ditch.</t>
  </si>
  <si>
    <t>The proposed design includes capturing all existing surface flows and directing them into a buried 24 inch HDPE culvert for</t>
  </si>
  <si>
    <t>the entire length of the eroding channel.</t>
  </si>
  <si>
    <t>The design includes the addition of five manholes and five sections of 24 inch HDPE Pipe (840 feet of pipe total)</t>
  </si>
  <si>
    <t xml:space="preserve">The design also includes, slope reinforement mats, and rip rap lined channels, and a trash,grate to minimize clogging </t>
  </si>
  <si>
    <t xml:space="preserve">and mainenance </t>
  </si>
  <si>
    <t>According to the design provided by WET, the estimated material quantites are:</t>
  </si>
  <si>
    <t>(1) 840 feet of 24 inch HDPE pipe</t>
  </si>
  <si>
    <t>(2) 5 Concrete Manholes with entry trash grate</t>
  </si>
  <si>
    <t>(3) rip rap</t>
  </si>
  <si>
    <t>(4) slope reinforement mat</t>
  </si>
  <si>
    <t>Based on cost data provided by RS Means, the material cost are:</t>
  </si>
  <si>
    <t>(3) rip rap @ $60 per foot installed</t>
  </si>
  <si>
    <t>Excavation &amp; Backfill</t>
  </si>
  <si>
    <t>Pipe Excavation &amp; Backfill  @ $10 per foot</t>
  </si>
  <si>
    <t>Manhole Excavation &amp; Backfill @ $800 each</t>
  </si>
  <si>
    <t>(1) 840 feet of 24 inch HDPE pipe @ $30 per foot</t>
  </si>
  <si>
    <t>(2) 5-Concrete Manholes @ $3,400 each</t>
  </si>
  <si>
    <t>(4) slope reinforement mat @ $9.00 per square yard</t>
  </si>
  <si>
    <t>Precipitation Plant</t>
  </si>
  <si>
    <t>Total Disturbed</t>
  </si>
  <si>
    <t>Pre-1974</t>
  </si>
  <si>
    <t>Post-1974</t>
  </si>
  <si>
    <t>Fuel Bays</t>
  </si>
  <si>
    <t>Tailings and Return Water Pipeline</t>
  </si>
  <si>
    <t>Tailings Booster Stations (McQueens, No. 2 &amp; No. 3)</t>
  </si>
  <si>
    <t>Amount Currently Held</t>
  </si>
  <si>
    <t>Montana Resources 5-Year Bond Review Total Reclamation Cost</t>
  </si>
  <si>
    <t>Concentrator</t>
  </si>
  <si>
    <t>Area (ac)</t>
  </si>
  <si>
    <t>Applicable Bond</t>
  </si>
  <si>
    <t>Managed/reclaimed under Superfund</t>
  </si>
  <si>
    <t>Notes</t>
  </si>
  <si>
    <t>Task 1 Reclaim Continental Pit</t>
  </si>
  <si>
    <t>Task 2 Reclaim South Continental Pit Dump</t>
  </si>
  <si>
    <t>Task 1 Reclaim Continental Pit, Total Cost</t>
  </si>
  <si>
    <t xml:space="preserve">The estimated revegetation and weed spraying cost for a 5-year period is $1,500 per acre, which includes minor erosion repair and seeding, </t>
  </si>
  <si>
    <t>Construct Rip Rap Channel Protection</t>
  </si>
  <si>
    <t>Cat 330 Excavator</t>
  </si>
  <si>
    <t>Construct Rip Rap Channel Protection, Total Cost</t>
  </si>
  <si>
    <t>Construct Surface Water Collection Ditches Along Roads</t>
  </si>
  <si>
    <t>The channel protection is placed along collector ditches located mainly along the roads</t>
  </si>
  <si>
    <t>The exact amount (length) of ditches is unknown</t>
  </si>
  <si>
    <t xml:space="preserve">The ditches are trapazoid shape and average 10 feet wide at the top </t>
  </si>
  <si>
    <t>The lower portions where the gradent is steeper and more water is collected plunge pools will be constructed</t>
  </si>
  <si>
    <t>To place the riprap a 20T articulating truck and hydraulic excavator will be used</t>
  </si>
  <si>
    <t>A portable screening and crushing plant will be necessary to manufacture both the bedding material and riprap</t>
  </si>
  <si>
    <t>DEQ would have to hire a 3rd party engineering firm to design the drainage system</t>
  </si>
  <si>
    <t>Based on the 2020 Black Butte Copper Mine bond estimate, the estimated cost for a completed rip rap lined ditches is $60 per foot</t>
  </si>
  <si>
    <t>The rip rap comes from locally derived on-site source</t>
  </si>
  <si>
    <t>Approximately 1/2 of the 9 miles of roads (listed above) will require riprap lined channel protection</t>
  </si>
  <si>
    <t>Permit Area</t>
  </si>
  <si>
    <t>Exempt</t>
  </si>
  <si>
    <t>00030</t>
  </si>
  <si>
    <t>The Central Zone is included in this area along with the Lunch Room Stockpile</t>
  </si>
  <si>
    <t>Hours Required (Hr)</t>
  </si>
  <si>
    <t>Adjusted Hourly Production (LCY/Hr)</t>
  </si>
  <si>
    <t>Availability</t>
  </si>
  <si>
    <t>Efficiency Factor</t>
  </si>
  <si>
    <t>Hourly Production (LCY/Hr)</t>
  </si>
  <si>
    <t>Production Rate (LCY/Min.)</t>
  </si>
  <si>
    <t>Number of Trucks Required</t>
  </si>
  <si>
    <t>Load Time Truck (Min.)</t>
  </si>
  <si>
    <t>Loader Cycle Time (Min.)</t>
  </si>
  <si>
    <t>385C Passes per Hauler</t>
  </si>
  <si>
    <t>Hauler Potential Production (LCY/HR)</t>
  </si>
  <si>
    <t>CAT 735C Heaped Capacity (LCY)</t>
  </si>
  <si>
    <t>Cycles per Hour</t>
  </si>
  <si>
    <t>Total Cycle Time</t>
  </si>
  <si>
    <t># of Trucks (Hauler Capabilities)</t>
  </si>
  <si>
    <t>Estimated time for loading alluvium was 2.45. This is a much smaller excavator but calc needs to be completed.</t>
  </si>
  <si>
    <t>Cat Edition 45 p.1-21 Cat 735C Haul Truck Rimpull-Speed-Gradeability Curve Empty Speed (MPH)</t>
  </si>
  <si>
    <t>Cat Edition 45 p.1-21 Cat 753C Haul Truck Rimpull-Speed-Gradeability Curve Loaded Speed (MPH)</t>
  </si>
  <si>
    <t>Haul 10,560 feet One Way, Total Resistance 10%</t>
  </si>
  <si>
    <t>References: http://nheri.ucsd.edu/facilities/docs/Performance_Handbook_416C.pdf</t>
  </si>
  <si>
    <t>Hauler Cycle Time (Min.)</t>
  </si>
  <si>
    <t>Using D6M-6SU Dozer (Line G)</t>
  </si>
  <si>
    <t>Power-shift machines with 0.05-min fixed time</t>
  </si>
  <si>
    <t>Soil Density of 2300 lb per l.c.y</t>
  </si>
  <si>
    <t>D6 Dozer Unit Cost ($/hr)</t>
  </si>
  <si>
    <t>Hours of Work (h)</t>
  </si>
  <si>
    <t>Volume of Swale (l.c.y.)</t>
  </si>
  <si>
    <t>Corrected Production Rate</t>
  </si>
  <si>
    <t>Volume of Swale (ft3)</t>
  </si>
  <si>
    <t>Corrected Production Factor</t>
  </si>
  <si>
    <t>Average Operator, Loose stockpile, 50 mins/hr efficiency</t>
  </si>
  <si>
    <t>Correction Factors</t>
  </si>
  <si>
    <t>Derating Factors (rock type, operator, grade)</t>
  </si>
  <si>
    <t xml:space="preserve"> lcy/hr</t>
  </si>
  <si>
    <t>Production Rate (max)</t>
  </si>
  <si>
    <t>Production Rate (l.c.y/hr)</t>
  </si>
  <si>
    <t>ft</t>
  </si>
  <si>
    <t>Dozing Distance</t>
  </si>
  <si>
    <t>Total Swale Length (ft)</t>
  </si>
  <si>
    <t>Swale Grading Cost</t>
  </si>
  <si>
    <t>Total Drill and Blast Cost</t>
  </si>
  <si>
    <t>Drill and Blast Unit Rate ($/BCY)</t>
  </si>
  <si>
    <t>Drill and Blast</t>
  </si>
  <si>
    <t>Total Rip Rap Cost</t>
  </si>
  <si>
    <t>Rip Rap Unit Rate ($/LCY)</t>
  </si>
  <si>
    <t>Rip Rap Cost</t>
  </si>
  <si>
    <t>Rock Swell Factor</t>
  </si>
  <si>
    <t>Haul Distance to N-S Embankment (mi)</t>
  </si>
  <si>
    <t>Approx. 55 ft^3 riprap per foot length of armored swale</t>
  </si>
  <si>
    <t>Total Rip Rap Volume (LCY)</t>
  </si>
  <si>
    <t>Unarmored Swale Length (ft)</t>
  </si>
  <si>
    <t>Armored Swale Length (ft)</t>
  </si>
  <si>
    <t>Total Spillway Cut Volume (LCY)</t>
  </si>
  <si>
    <t>Total Spillway Cut Volume (BCY)</t>
  </si>
  <si>
    <t>Spillway Channel Length (ft)</t>
  </si>
  <si>
    <t>1H:1.35V</t>
  </si>
  <si>
    <t>Cut Slope into Fill</t>
  </si>
  <si>
    <t>1H:0.58V</t>
  </si>
  <si>
    <t>Cut Slope into Rampart Mountain</t>
  </si>
  <si>
    <t>Minimum Grad (%)</t>
  </si>
  <si>
    <t>Flow Depth (ft)</t>
  </si>
  <si>
    <t>Base Width (ft)</t>
  </si>
  <si>
    <t>Invert Elevation (ft)</t>
  </si>
  <si>
    <t>Inputs</t>
  </si>
  <si>
    <t>Assumptions</t>
  </si>
  <si>
    <t>390F capacity</t>
  </si>
  <si>
    <t>PROPOSED 5-YEAR BOND CALCULATION</t>
  </si>
  <si>
    <t>Indirect Costs</t>
  </si>
  <si>
    <t>Post-Closure Costs</t>
  </si>
  <si>
    <t>Additional Amount Required</t>
  </si>
  <si>
    <t>Water Management Structures</t>
  </si>
  <si>
    <t>Not reported, small feature</t>
  </si>
  <si>
    <r>
      <t xml:space="preserve">Berkeley Pit </t>
    </r>
    <r>
      <rPr>
        <i/>
        <sz val="11"/>
        <color theme="1"/>
        <rFont val="Calibri"/>
        <family val="2"/>
        <scheme val="minor"/>
      </rPr>
      <t>(238 acres above 5410' water level, 446 acres below water)</t>
    </r>
  </si>
  <si>
    <t>Roads associated with exempt facilities (in OP#00030)</t>
  </si>
  <si>
    <t>Water Management Structure</t>
  </si>
  <si>
    <t>Concentrator, Crusher, Precipitation Plant (Exempt Areas)</t>
  </si>
  <si>
    <t>Managed/used/reclaimed under Superfund</t>
  </si>
  <si>
    <t>Horseshoe Bend Capture System- Booster Station + Roads</t>
  </si>
  <si>
    <t>Historic mining area (GMMIA), reclaimed under Superfund</t>
  </si>
  <si>
    <t>Exempt Facilites:</t>
  </si>
  <si>
    <t>Post - 1974 Areas</t>
  </si>
  <si>
    <t>Pre- 1974 Areas</t>
  </si>
  <si>
    <t>Misc</t>
  </si>
  <si>
    <t>Misc Berkeley Pit Overlook</t>
  </si>
  <si>
    <t>BMFOU</t>
  </si>
  <si>
    <t>EXEMPT</t>
  </si>
  <si>
    <t>GMMIA</t>
  </si>
  <si>
    <t>Grand Total</t>
  </si>
  <si>
    <t>TOTAL</t>
  </si>
  <si>
    <t>The Miscellaneous areas are shown on the 2025 Site Plan Map and Acreage Table</t>
  </si>
  <si>
    <t>Feature</t>
  </si>
  <si>
    <t>Alluvium Stockpile</t>
  </si>
  <si>
    <t>Continental Pit - Highwall</t>
  </si>
  <si>
    <t>Continental Pit - Reclaimable Area</t>
  </si>
  <si>
    <t>Exploration Permit</t>
  </si>
  <si>
    <t>Leach Pad</t>
  </si>
  <si>
    <t>McQueen Townsite</t>
  </si>
  <si>
    <t>Office</t>
  </si>
  <si>
    <t>Precipitation Plant RR</t>
  </si>
  <si>
    <t>RDS Access</t>
  </si>
  <si>
    <t>RDS East</t>
  </si>
  <si>
    <t>RDS East Crest</t>
  </si>
  <si>
    <t>RDS Great Northern</t>
  </si>
  <si>
    <t>RDS Nalley Valley</t>
  </si>
  <si>
    <t>RDS Pittsmont</t>
  </si>
  <si>
    <t>RDS Pittsmont Crest</t>
  </si>
  <si>
    <t>RDS Pittsmont Road</t>
  </si>
  <si>
    <t>RDS South Continental Pit</t>
  </si>
  <si>
    <t>RDS South Continental Pit Crest</t>
  </si>
  <si>
    <t>Road</t>
  </si>
  <si>
    <t>Soil Stockpile</t>
  </si>
  <si>
    <t>Spillway Cut</t>
  </si>
  <si>
    <t>Undisturbed</t>
  </si>
  <si>
    <t>YDTI Beach</t>
  </si>
  <si>
    <t>YDTI North Transition Zone</t>
  </si>
  <si>
    <t>YDTI Pond</t>
  </si>
  <si>
    <t>YDTI Tailings Transition Zone</t>
  </si>
  <si>
    <t>ACREAGES FROM 2025 SITE PLAN MAP</t>
  </si>
  <si>
    <t>Bond Calc Tab</t>
  </si>
  <si>
    <t>Horseshoe Bend Water Treatment Plant Area</t>
  </si>
  <si>
    <t>00030+30A</t>
  </si>
  <si>
    <t xml:space="preserve">It is assumed the during the closure period reclamation would start in earnest beginning in year 2026 and take approximately 4 years to complete </t>
  </si>
  <si>
    <t>Year 2 (yr 2026)</t>
  </si>
  <si>
    <t>Year 3-5 (yr 2027-2029)</t>
  </si>
  <si>
    <t>Based on DEQ's experience with previous operation bankruptcy, approximately a one-year period of interim maintenance is needed</t>
  </si>
  <si>
    <t>This tab represents the cost to maintain the essential operations while the agency gets the bond</t>
  </si>
  <si>
    <t>11- Leach Pads</t>
  </si>
  <si>
    <t>13- PreLaw + 14-Misc</t>
  </si>
  <si>
    <t>14-Misc</t>
  </si>
  <si>
    <t>13-PreLaw</t>
  </si>
  <si>
    <t>13-PreLaw + 14-Misc</t>
  </si>
  <si>
    <t>12-Pits</t>
  </si>
  <si>
    <t>4-Explo</t>
  </si>
  <si>
    <t>10-Dumps</t>
  </si>
  <si>
    <t>16-Spillway</t>
  </si>
  <si>
    <t>6-PostClosure</t>
  </si>
  <si>
    <t>1-Embankment</t>
  </si>
  <si>
    <t>2-Beach</t>
  </si>
  <si>
    <t>2020 Reclamation Bond Equipment Rates</t>
  </si>
  <si>
    <t>D10T2</t>
  </si>
  <si>
    <t>D7E LGP</t>
  </si>
  <si>
    <t>D6T LGP</t>
  </si>
  <si>
    <t>988K</t>
  </si>
  <si>
    <t>980K</t>
  </si>
  <si>
    <t>950K</t>
  </si>
  <si>
    <t>374 DL</t>
  </si>
  <si>
    <t>349F</t>
  </si>
  <si>
    <t>323F</t>
  </si>
  <si>
    <t>320F</t>
  </si>
  <si>
    <t>315F</t>
  </si>
  <si>
    <t>416F</t>
  </si>
  <si>
    <t>450F</t>
  </si>
  <si>
    <t>637K</t>
  </si>
  <si>
    <t>657G</t>
  </si>
  <si>
    <t>16M3</t>
  </si>
  <si>
    <t>12M3</t>
  </si>
  <si>
    <t>ON-HWY (DIESEL)</t>
  </si>
  <si>
    <t>772G</t>
  </si>
  <si>
    <t>(1)  Assumes +/- 1,300 annual use hours</t>
  </si>
  <si>
    <t>Montana Prevailing Wage for Heavy Construction Services</t>
  </si>
  <si>
    <t>Montana Department of Labor and Industry, Effective January 2, 2020</t>
  </si>
  <si>
    <t>Horseshoe Bend Capture System- Booster Station + Roads (GMMIA)</t>
  </si>
  <si>
    <t>Other facilities in OP#00030:</t>
  </si>
  <si>
    <t>Only 9 acres (top area) are not contained within OP#00030, thus 162 acres are limited to bonding at $500/acre</t>
  </si>
  <si>
    <t>Berkeley Pit (BMFOU)</t>
  </si>
  <si>
    <t>Berkeley Pit Water (BMFOU)</t>
  </si>
  <si>
    <t>Concentrator Area (EXEMPT)</t>
  </si>
  <si>
    <t>Continental Pit Water 5410'/5466' (BMFOU)</t>
  </si>
  <si>
    <t>Exploration Permit Partially Reclaimed/Released</t>
  </si>
  <si>
    <t>Historic Preservation (GMMIA)</t>
  </si>
  <si>
    <t>Misc Partially Reclaimed/Released</t>
  </si>
  <si>
    <t>Precipitation Plant Area (EXEMPT)</t>
  </si>
  <si>
    <t>Primary Crusher (EXEMPT)</t>
  </si>
  <si>
    <t>RDS East Partially Reclaimed/Released</t>
  </si>
  <si>
    <t>RDS Hillcrest Partially Reclaimed/Released</t>
  </si>
  <si>
    <t>RDS North East Partially Reclaimed/Released</t>
  </si>
  <si>
    <t>RDS Woodville Partially Reclaimed/Released</t>
  </si>
  <si>
    <t>YDTI East-West Crest</t>
  </si>
  <si>
    <t>YDTI East-West Embankment 2.7:1</t>
  </si>
  <si>
    <t>YDTI East-West Embankment 2:1</t>
  </si>
  <si>
    <t>YDTI East-West Embankment Riprap</t>
  </si>
  <si>
    <t>YDTI East-West Embankment Upstream 2.7:1</t>
  </si>
  <si>
    <t>YDTI North-South Crest</t>
  </si>
  <si>
    <t>YDTI North-South Embankment 2.7:1</t>
  </si>
  <si>
    <t>YDTI North-South Embankment 2:1</t>
  </si>
  <si>
    <t>YDTI North-South Embankment Riprap</t>
  </si>
  <si>
    <t>YDTI North-South Embankment Upstream 2.7:1</t>
  </si>
  <si>
    <t>YDTI West Crest</t>
  </si>
  <si>
    <t>YDTI West Embankment 2.5:1</t>
  </si>
  <si>
    <t>YDTI West Embankment 2.7:1</t>
  </si>
  <si>
    <t>YDTI West Embankment 3:1</t>
  </si>
  <si>
    <t>YDTI West Embankment Upstream 2.7:1</t>
  </si>
  <si>
    <t>YDTI West Embankment WED</t>
  </si>
  <si>
    <t>HB Water Treatment Plant (BMFOU)</t>
  </si>
  <si>
    <t>YDTI East-West Crest Road</t>
  </si>
  <si>
    <t>YDTI North-South Crest Road</t>
  </si>
  <si>
    <t>YDTI North-South Embankment Road</t>
  </si>
  <si>
    <t>YDTI West Crest Road</t>
  </si>
  <si>
    <t>YDTI Equilibrium Pond</t>
  </si>
  <si>
    <t>N-S  Embankment</t>
  </si>
  <si>
    <t>E-W Embankment</t>
  </si>
  <si>
    <t>Reslope Embankment</t>
  </si>
  <si>
    <t>The N-S Embankment is approximately 6,500 feet long, in 2025 it will be constructed to the 6,450 ft elevation</t>
  </si>
  <si>
    <t>GRAND TOTAL</t>
  </si>
  <si>
    <t>PRE-1974 BOND</t>
  </si>
  <si>
    <t>ACRES FOR BOND CALCULATIONS BELOW</t>
  </si>
  <si>
    <t>Area of Embankment and Crest  (AC)</t>
  </si>
  <si>
    <t>Road Remaining (not reclaimed) (AC)</t>
  </si>
  <si>
    <t>Weight of alluvium to cover the embankment (TONS)</t>
  </si>
  <si>
    <t>Total Analytical Cost</t>
  </si>
  <si>
    <t>Estimated Crest Area to Reclaim (AC)</t>
  </si>
  <si>
    <t>The West Embankment is approximately 6,800 feet long, in 2025 it will be constructed to the 6,450 ft elevation</t>
  </si>
  <si>
    <t>The crest on each embankment limb will require ripping prior to soil placement</t>
  </si>
  <si>
    <t>The access road (50 ft wide) along the top of each crest will remain for post closure monitoring</t>
  </si>
  <si>
    <t>As the embankment height increases to the 6450 foot  crest elevation, a new ramp will be constructed, aiding in North RDS construction</t>
  </si>
  <si>
    <t>The E-W Embankment is approximately 5,500 feet long, in 2025 it will be constructed to the 6,450 ft elevation</t>
  </si>
  <si>
    <t>To breakup the long reclaimed slopes, benches or drainage swales will be cut every 100 feet</t>
  </si>
  <si>
    <t>Rip rap with these characteristics is not available at MR, therefore it will likely have to be trucked in possibly from the Pipestone Quarry</t>
  </si>
  <si>
    <t>Reslope Embankments</t>
  </si>
  <si>
    <t>Rip Crests</t>
  </si>
  <si>
    <t>NA</t>
  </si>
  <si>
    <t>To reclaim the angle-of-repose slope adjacent to the Precipitation Plant, DEQ assumes rip rap would be placed along the toe (see Amendment 10, Exhibit 3)</t>
  </si>
  <si>
    <t>All riprap acres occur within Permit 00030 (Pre-1974), which is limited to a bond of $500/acre</t>
  </si>
  <si>
    <t>This Pre-1974 cost is accounted for at the top of this tab, no additional calculations related to this task</t>
  </si>
  <si>
    <t>For the N-S Embankment, approximately 19,500 feet (6,500 X 3)of ditches would need to be constructed (assuming ~350 ft high slope)</t>
  </si>
  <si>
    <t>For the E-W Embankment, approximately 16,500 feet (5,500 X 3)of ditches would need to be constructed (assuming ~360 ft high slope)</t>
  </si>
  <si>
    <t>Riprap Area (AC) (not slope corrected)</t>
  </si>
  <si>
    <t>The rip rap would be 18 inch diameter minimum, non-acid generating rock, and would not be covered with topsoil after placement</t>
  </si>
  <si>
    <t>Permit 00030A Embankment and Crest acreage, soil thickness, and volume are as follows:</t>
  </si>
  <si>
    <t>Soil Thick (Inches)</t>
  </si>
  <si>
    <t>Soil Volume (LCY)</t>
  </si>
  <si>
    <t>(to Central Zone)</t>
  </si>
  <si>
    <t>Area of Embankments and Crests getting alluvium (AC)</t>
  </si>
  <si>
    <t>Alluvium volume to cover embankments and crests (LCY)</t>
  </si>
  <si>
    <t>Area of Embankments and Crests getting soil (AC)</t>
  </si>
  <si>
    <t>Soil volume to cover embankments and crests (LCY)</t>
  </si>
  <si>
    <t>Density of alluvium (LBS/LCY)</t>
  </si>
  <si>
    <t>Weight of soil to cover the embankment (TONS)</t>
  </si>
  <si>
    <t>Density of soil (LBS/LCY)</t>
  </si>
  <si>
    <t>With respect to spreading the alluvium, assume two Cat 10T are with the hauling operation, spreading the alluvium takes twice the hauling hours</t>
  </si>
  <si>
    <t>The E-W embankment would be covered with alluvium (20 inches 2.7H:1V slopes, 36 inches 2H:1V slopes, 28 inches on crest)</t>
  </si>
  <si>
    <t>The N-S embankment would be covered with alluvium (20 inches 2.7H:1V slopes, 36 inches 2H:1V slopes, 28 inches on crest)</t>
  </si>
  <si>
    <t>Alluv Thick (Inches)</t>
  </si>
  <si>
    <t>Alluv Volume (LCY)</t>
  </si>
  <si>
    <t>Equipment Cost (Cat D10T)</t>
  </si>
  <si>
    <t>Haul &amp; Spread Alluvium and Soil</t>
  </si>
  <si>
    <t>Soil will be sourced from the Central Zone, Lunch Room Stockpile, or the Moulton Road Stockpiles</t>
  </si>
  <si>
    <t>The West Embankment would be covered with 36 inches of alluvium + 6 inches of soil on 3H:1V slopes, per the Amendment 010 Reclamation Plan</t>
  </si>
  <si>
    <t>HAULING ALLUVIUM</t>
  </si>
  <si>
    <t>SPREADING ALLUVIUM</t>
  </si>
  <si>
    <t>Area of Embankment and Crest  (AC) (Corrected for slope)</t>
  </si>
  <si>
    <t>HAULING SOIL (WEST EMBANKMENT ONLY)</t>
  </si>
  <si>
    <t>Estimate for Full Time Soil Scientist</t>
  </si>
  <si>
    <t xml:space="preserve">Estimate for a Soils Trailer </t>
  </si>
  <si>
    <t>Volume of Alluv. (LCY)</t>
  </si>
  <si>
    <t>Alluvium Haul Distance(4% grade, 10% resist) (FT)</t>
  </si>
  <si>
    <t>Spreading Job Hours (HR)</t>
  </si>
  <si>
    <t>SPREADING SOIL</t>
  </si>
  <si>
    <t>Haul &amp; Spread Alluvium and Soil, Total Cost</t>
  </si>
  <si>
    <t>With respect to spreading the soil, assume one Cat 8T is with the hauling operation, spreading the alluvium takes twice the hauling hours</t>
  </si>
  <si>
    <t xml:space="preserve">According to the amendment application, alluvium will be sourced from the Central Zone. </t>
  </si>
  <si>
    <t>2H:1V Slope Area (Corrected for slope)</t>
  </si>
  <si>
    <t>2.5H:1V Slope Area (Corrected for slope)</t>
  </si>
  <si>
    <t>2.7H:1V Slope Downstream Area (Corrected for slope)</t>
  </si>
  <si>
    <t>2.7H:1V Slope Upstream Area (Corrected for slope)</t>
  </si>
  <si>
    <t>3H:1V Slope Area (Corrected for slope)</t>
  </si>
  <si>
    <t>Crest Area (Not corrected for slope)</t>
  </si>
  <si>
    <t>(478 acres bonded at $500/acre)</t>
  </si>
  <si>
    <t>Based on the 2025 site plan map, approximately 512 acres and can be capped immediately with 28 inches of alluvium and 6 inches of topsoil</t>
  </si>
  <si>
    <t>The downstream West Embankment slopes were constructed to either 3H:1V or 2.5H:1V, therefore no resloping is required</t>
  </si>
  <si>
    <t>Most of the tailings beach would be covered with 28 inches of alluvium and 6 inches of topsoil</t>
  </si>
  <si>
    <t>2025 Acreage</t>
  </si>
  <si>
    <t>(2025 Site Plan Map)</t>
  </si>
  <si>
    <t>(2025 Site Plan map)</t>
  </si>
  <si>
    <t>This total is accounted for at the top of this tab</t>
  </si>
  <si>
    <t>With respect to spreading the alluvium, assume two Cat D10T are with the hauling operation, spreading the alluvium takes twice the hauling hours</t>
  </si>
  <si>
    <t>With respect to spreading the topsoil, assume one Cat D8T is with the hauling operation at twice the hauling hours</t>
  </si>
  <si>
    <t>Tailings Beach at 2025 CLOSURE, soil thickness, and volume are as follows:</t>
  </si>
  <si>
    <t>DEQ requests a qualified soils scientist (with a pickup truck) will be with the alluvium salvage operation full time for lab work, QA/QC and record keeping</t>
  </si>
  <si>
    <t>The estimated volume of alluvium to cover top of Leach Pad (LCY)</t>
  </si>
  <si>
    <t>BMFOU not included</t>
  </si>
  <si>
    <t>Continental Pit - Highwall (unreclaimed)</t>
  </si>
  <si>
    <t>Continental Pit - Reclaimable Bench Area</t>
  </si>
  <si>
    <t>The 2025 site plan map shows the flat/bench areas that can be reclaimed</t>
  </si>
  <si>
    <t>Weight of alluvium required to cover the Pit Area Reclamation (TONS)</t>
  </si>
  <si>
    <t>Density of the alluvium (LBS/LCY)</t>
  </si>
  <si>
    <t>Estimated haul distance at 10% grade (FT)</t>
  </si>
  <si>
    <t>Item 1 Cost Summary for YDTI Embankment</t>
  </si>
  <si>
    <t>Pre-1974 Bond</t>
  </si>
  <si>
    <t>The West Ridge Exploration disturbance was conducted under Exploration License #00711</t>
  </si>
  <si>
    <t>The West Ridge monitoring wells from this project were added to OP 00030 through Amendment 010</t>
  </si>
  <si>
    <t>OP 00030A</t>
  </si>
  <si>
    <t>OP 00030</t>
  </si>
  <si>
    <t>Task 3 Reclaim Tailings Beach (OP 00030)</t>
  </si>
  <si>
    <t>Task 4 Reclaim Tailings Beach (OP 00030A)</t>
  </si>
  <si>
    <t>Tailings Beach Alluvium (OP 00030)</t>
  </si>
  <si>
    <t>Tailings Beach Topsoil (OP 00030)**</t>
  </si>
  <si>
    <t xml:space="preserve">**This cell is 731 acres divided by 2, since half of the topsoil can be placed in both OP 00030 &amp; 30A.  </t>
  </si>
  <si>
    <t>**366 acres of OP 00030 get additional 6 inches of topsoil on top of the alluvium</t>
  </si>
  <si>
    <t>The 478 acres of beach are located in OP 00030, which is limited to bonding at $500/acre</t>
  </si>
  <si>
    <t>Task 3 Reclaim Tailings Beach (OP 00030), Total Cost</t>
  </si>
  <si>
    <t>Backfill and Shape Settlement Areas (OP 00030A)</t>
  </si>
  <si>
    <t>Backfill and Shape Settlement Areas (OP 00030A), Total Cost</t>
  </si>
  <si>
    <t>Haul &amp; Spread Alluvium &amp; Topsoil (OP 00030A)</t>
  </si>
  <si>
    <t>Tailings Beach Alluvium (OP 00030A)</t>
  </si>
  <si>
    <t>Tailings Beach Topsoil (OP 00030A)**</t>
  </si>
  <si>
    <t>Haul &amp; Spread Alluvium (OP 00030A), Total Cost</t>
  </si>
  <si>
    <t>Haul &amp; Spread  6 inches of Topsoil (OP 00030A) Calculation</t>
  </si>
  <si>
    <t>Haul &amp; Spread 6 inches Topsoil (OP 00030A), Total Cost</t>
  </si>
  <si>
    <t>Haul &amp; Spread Alluvium &amp; Topsoil (OP 00030A), Total Cost</t>
  </si>
  <si>
    <t>Task 4 Reclaim Tailings Beach (OP 00030A), Total Cost</t>
  </si>
  <si>
    <t>OP 00041</t>
  </si>
  <si>
    <t>OP 00108</t>
  </si>
  <si>
    <t>Item 2- YDTI Beach at Closure Total Cost</t>
  </si>
  <si>
    <t>Item 1- YDTI Embankments Total Cost</t>
  </si>
  <si>
    <t>Item 3 Exploration- West Ridge Wells brought into OP</t>
  </si>
  <si>
    <t>Item 3 Cost Summary for Exploration Disturbances Rolled into Operating Permit</t>
  </si>
  <si>
    <t>Task 1 West Ridge monitoring wells</t>
  </si>
  <si>
    <t>The West Ridge wells occur within OP 00030A, but the adjacent road acres are accounted for under the Misc. tab</t>
  </si>
  <si>
    <t>These acres are not applied to the Operating Permit Bond</t>
  </si>
  <si>
    <t>*From Amendment 10 Bond Calculation- 2/11/2020</t>
  </si>
  <si>
    <t>Plugging includes bentonite from the bottom to within 5-10 feet of surface, then cement fill from top of bentonite to land surface, per MT ARM 17.24.106(2)</t>
  </si>
  <si>
    <t xml:space="preserve">At the end of post-closure monitoring, wells must be plugged and abandoned. Hole plugging rate includes equipment, personel, and materials to backfill hole. </t>
  </si>
  <si>
    <t>Hole plugging rate ($/FT)</t>
  </si>
  <si>
    <t>Total plugging cost</t>
  </si>
  <si>
    <t>Total hole depth (FT)</t>
  </si>
  <si>
    <t>The areas shown in 2025 site plan map within OP 00041 (table below) are bonded under Exploration License 00711 (East Side disturbance)</t>
  </si>
  <si>
    <t>Well Name</t>
  </si>
  <si>
    <t>The Exploration License bond also included misc. disturbance associated with the West Ridge wells</t>
  </si>
  <si>
    <t>These disturbances are accounted for as roads or misc. disturbance in the 2025 site plan map and the Misc. tab calculations</t>
  </si>
  <si>
    <t>Not required in 2025, see tab details</t>
  </si>
  <si>
    <t>Item 4 WED Water Treatment at Closure</t>
  </si>
  <si>
    <t>The downstream face of E-W Embankment must be resloped prior to capping and revegetation</t>
  </si>
  <si>
    <t>The downstream face of N-S Embankment will not be covered by the North RDS in 2025, so the surface must be resloped prior to capping and revegetation</t>
  </si>
  <si>
    <t>N-S  Embankment U/S</t>
  </si>
  <si>
    <t>Resloping N/A</t>
  </si>
  <si>
    <t>There are no slopes within OP 00030A that need to be reduced to 2H:1V</t>
  </si>
  <si>
    <t>Dump-Slope Dozer Production Calculation</t>
  </si>
  <si>
    <t>E-W Embankment D/S</t>
  </si>
  <si>
    <t>N-S  Embankment D/S</t>
  </si>
  <si>
    <t>E-W Embankment U/S</t>
  </si>
  <si>
    <t>West Embankment D/S</t>
  </si>
  <si>
    <t>West Embankment U/S</t>
  </si>
  <si>
    <t>Reslope Embankments, Total Cost</t>
  </si>
  <si>
    <t>Reslope Embankments, subtotal</t>
  </si>
  <si>
    <t>Item 3- Exploration Disturbances to OP Total Cost</t>
  </si>
  <si>
    <t>Item 5- Post Closure Total Cost</t>
  </si>
  <si>
    <t>See Item 15- Spillway</t>
  </si>
  <si>
    <t>Assume a 30-year period for incremental beach reclamation</t>
  </si>
  <si>
    <t>The Reclamation Schedule from Amendment 010 application as shown in Table 9-5</t>
  </si>
  <si>
    <t>Following completion of the closure reclamation stage (years 2-5), as the pond recedes, the YDTI transition zone can be incrementally reclaimed over a 30 year period</t>
  </si>
  <si>
    <t>The ultimate volume of the pond is forecasted to be between 500 and 2000 acre-feet, based on seasonal variability</t>
  </si>
  <si>
    <t>The 2025 site plan map shows the following acreages:</t>
  </si>
  <si>
    <t>Beach area in 2025 (reclaimed in years 2-5) (AC)</t>
  </si>
  <si>
    <t>Pond area in 2025 (AC)</t>
  </si>
  <si>
    <t>Pond Area in Equilib (AC)</t>
  </si>
  <si>
    <t>Tailings Transition Zone in Equilib (AC)</t>
  </si>
  <si>
    <t>North Transition Zone in Equilib (AC)</t>
  </si>
  <si>
    <t>YDTI North Transition Zone (AC)</t>
  </si>
  <si>
    <t>YDTI Tailings Transition Zone (AC)</t>
  </si>
  <si>
    <t>Combined transition zones in 2025</t>
  </si>
  <si>
    <t>Post closure period assumes that  1,019 acres have already been capped with 28 inches of alluvium and 6 inches of topsoil</t>
  </si>
  <si>
    <t>As the pond recedes over a 30 year period the remaining transition zone acres can be reclaimed</t>
  </si>
  <si>
    <t>The meterological station will still be available to provide live-time data (rental rates are included)</t>
  </si>
  <si>
    <t>MR provided a quote to purchase a new Terramac from Tri State Truck &amp; Equipment.  Amortization table. - see Task 6</t>
  </si>
  <si>
    <t xml:space="preserve">The cost for a new one with all required options is $334,866.  This cost is considered a upfront cost and will be corrected above </t>
  </si>
  <si>
    <t>(moved to Task 6- TerraMac cost)</t>
  </si>
  <si>
    <t>Task 6- Purchase TerraMac</t>
  </si>
  <si>
    <t>equlibrium</t>
  </si>
  <si>
    <t>Total Reclaimed Beach Area</t>
  </si>
  <si>
    <t>The strips of transition zone (approx. 800 ft wide) would then incrementally become future "Reclaimed Beach"</t>
  </si>
  <si>
    <t>Area to be incrementally reclaimed (OP#00030A):</t>
  </si>
  <si>
    <t>Reclamation of the incremental exposed beach is similar to the initial beach acres but with contractor using smaller equipment</t>
  </si>
  <si>
    <t>Area of Transition zone to get alluvium during POST CLOSURE(AC)</t>
  </si>
  <si>
    <t>The estimated volume of alluvium to cover transition zone (LCY)</t>
  </si>
  <si>
    <t>Average Area of Tailings Beach During Post Closure (AC) (every 5 years)</t>
  </si>
  <si>
    <t>Alluvium Testing &amp; Amendment Per 5 Year Period, Total Cost ($/5 YEARS)</t>
  </si>
  <si>
    <t>Reclaimable Tailings Trans Zone</t>
  </si>
  <si>
    <t>Reclaimable North Trans Zone</t>
  </si>
  <si>
    <t>Area of Tailings Transition Zone reclamation Post Closure (AC)</t>
  </si>
  <si>
    <t>Area of North Transition Zone reclamation Post Closure (AC)</t>
  </si>
  <si>
    <t>per 5 years</t>
  </si>
  <si>
    <t>Task 1 Incrementally Reclaim Transition Zone Per 5 Year Period, Total Cost ($/5 YEARS)</t>
  </si>
  <si>
    <t>Task 1 Incrementally Reclaim Exposed Transition Zone Per 5 Year Period</t>
  </si>
  <si>
    <t>Reclaim Transition Zone Per 5 Year Period</t>
  </si>
  <si>
    <t>Reclaim Transition zone Per 5 Year Period</t>
  </si>
  <si>
    <t>Transition Zone at POST CLOSURE, soil thickness, and volume are as follows:</t>
  </si>
  <si>
    <t>Post Closure Transition Zone Alluvium (every 5 years)</t>
  </si>
  <si>
    <t>*Pre-1974 bond applies to Transition Zone, Beach already accounted for in Item 2 tab</t>
  </si>
  <si>
    <t>As the pond recedes over a 30 year period the remaining 370 acres of tailings and 81 acres of north shore can be reclaimed</t>
  </si>
  <si>
    <t>The exposed north transition zone would not receive alluvium (excluded in this task), but the area will be seeded</t>
  </si>
  <si>
    <t>The exposed north transition zone would not receive alluvium, but the area will be seeded</t>
  </si>
  <si>
    <t>All wells are monitored during the spring (June) and fall (October) for a 20-year period (Amendment 010) (see Table 10-2)</t>
  </si>
  <si>
    <t>Table 4-1 is a list of monitoring wells included in the program over 20 years</t>
  </si>
  <si>
    <t>Groundwater aites (24) will be monitored twice per year</t>
  </si>
  <si>
    <t>Surface water sites (12) will be monitored twice per year, as presented in current Annual Progress Reports</t>
  </si>
  <si>
    <t>Surface water sites are listed below (from June 2020 Annual Progress Report)</t>
  </si>
  <si>
    <t>Water Monitoring- Analytical Cost</t>
  </si>
  <si>
    <t>Water Monitoring- Analytical Cost, Total Cost</t>
  </si>
  <si>
    <t>Assume the monitoring program is for 20 years from 2025 to 2045</t>
  </si>
  <si>
    <t>Water Quality Monitoring</t>
  </si>
  <si>
    <t>Under the full extent of operations/filling in Amendment 010, the pond level was expected to approach the 6380 foot target level for maintaining hydrodynamic containment</t>
  </si>
  <si>
    <t>After approximatelyt 20 years of draindown, the south end of the WED would be grouted or otherwise plugged to preclude drainage to the Extraction Pond</t>
  </si>
  <si>
    <t>The Extraction Pond may become damaged or require maintenance</t>
  </si>
  <si>
    <t>The Extraction Basins with two installed wells would remove seepage from the WED and return to the YDTI, while the pond is repaired</t>
  </si>
  <si>
    <t>Item 5 Cost Summary for Post Closure</t>
  </si>
  <si>
    <t>Item 5 Post Closure Reclamation</t>
  </si>
  <si>
    <t>Post Closure Total Cost</t>
  </si>
  <si>
    <t>Item 6 Interim Management</t>
  </si>
  <si>
    <t>Fluids from the Concentrator and Precipitation Plant are exempt (pre-1971), so no reclamation cost can be bonded.</t>
  </si>
  <si>
    <t>Dust control for closure year 1 is included in Post-Closure tab, not duplicated here</t>
  </si>
  <si>
    <t xml:space="preserve">erosion control, and weed spraying. </t>
  </si>
  <si>
    <t xml:space="preserve">Water monitoring is covered under Post Closure tab, not duplicated here. </t>
  </si>
  <si>
    <t>Item 6 Interim Management, Total Cost</t>
  </si>
  <si>
    <t>Item 7 A&amp;E Closure Reclamation Management</t>
  </si>
  <si>
    <t>Item 7 A&amp;E Closure Reclamation Management, Total Cost</t>
  </si>
  <si>
    <t>Item 8 A&amp;E Post Closure Management</t>
  </si>
  <si>
    <t>Item 8 A&amp;E Post Closure Management, Total Cost</t>
  </si>
  <si>
    <t>It is assumed the "Post Closure" period would begin five years after "Closure" begins (so year 2030)</t>
  </si>
  <si>
    <t>Task 4 Reclaim Tailings Beach (OP 00030A) AT CLOSURE</t>
  </si>
  <si>
    <t>The staffing schedule for year 2030 through 2055 would be as follows:</t>
  </si>
  <si>
    <t>Staffing Year 2030-2055</t>
  </si>
  <si>
    <t>Total 25 Years A&amp;E Other Costs</t>
  </si>
  <si>
    <t>Conceptual Spillway Memo, Knight Piesold, September 22, 2020</t>
  </si>
  <si>
    <t>Bond review response letter, 2025 Site Plan- Map and Acreage Table, MR/Westech, October 2, 2020</t>
  </si>
  <si>
    <t>Bond Assumptions:</t>
  </si>
  <si>
    <t>Monitoring and Future Bond Evaluations:</t>
  </si>
  <si>
    <t>Item 5 Post-Closure Reclamation</t>
  </si>
  <si>
    <t>Item 10 Cost Summary for Earthwork - Leach Pads</t>
  </si>
  <si>
    <t>Item 10- Leach Pads Total Cost</t>
  </si>
  <si>
    <t>Collection ditches are not required for the 9 acres (tops) of leach pads in OP 00030A</t>
  </si>
  <si>
    <t>Item 10 Earthwork - Leach Pads</t>
  </si>
  <si>
    <t>Item 15 Construct Spillway at Closure, Total Cost</t>
  </si>
  <si>
    <t>Item 15  Construct Spillway at Closure</t>
  </si>
  <si>
    <t>Item 14 Improve Clearwater Ditch</t>
  </si>
  <si>
    <t>Item 12  Pre-Law Areas</t>
  </si>
  <si>
    <t>Item 12 Pre-Law Areas</t>
  </si>
  <si>
    <t>See tab details</t>
  </si>
  <si>
    <t>Item 13 Cost Summary for Miscellaneous Areas</t>
  </si>
  <si>
    <t>Item 11 Cost Summary for Earthwork - Continental Pit</t>
  </si>
  <si>
    <t>Item 11  Earthwork - Continental Pit Total Cost</t>
  </si>
  <si>
    <t>See Dump Area tab</t>
  </si>
  <si>
    <t>The estimated volume of alluvium to cover the reclaimable area is:</t>
  </si>
  <si>
    <t>Haul distance is 8,000 feet One Way, Total Resistance 4%</t>
  </si>
  <si>
    <t>Item 11 Earthwork - Continental Pit</t>
  </si>
  <si>
    <t>Areas below the 5,410 ft elevation are subject to pit-lake flooding, and would be managed under BMFOU (Superfund)</t>
  </si>
  <si>
    <t>Underlying misc. area OP#00030, bonded at $500/acre</t>
  </si>
  <si>
    <t>00030+30A+41</t>
  </si>
  <si>
    <t>Underlying area OP#00030 for continuous feature, bonded at $500/acre</t>
  </si>
  <si>
    <t>Exempt from permit and bonding</t>
  </si>
  <si>
    <t>Precipitation Plant RR**</t>
  </si>
  <si>
    <t>For continuity, DEQ and MR agreed to apply the pre-1974 bond level to the full length of the feature (2 acres @ $500/acre)</t>
  </si>
  <si>
    <t>Pre-1974 Bond Areas</t>
  </si>
  <si>
    <t>The permit boundaries do not affect the cost estimates, so the acreages are being grouped in the following manner in the calculations:</t>
  </si>
  <si>
    <t>UNDISTURBED- NO BOND</t>
  </si>
  <si>
    <t>Undisturbed (No Bond Required)</t>
  </si>
  <si>
    <t>Acres in 00030, 00041, and 00108</t>
  </si>
  <si>
    <t>Pre-law Facilities are not included in this task, see Pre-Law Areas tab</t>
  </si>
  <si>
    <t>Roads</t>
  </si>
  <si>
    <t>Road area in 2025 (AC)</t>
  </si>
  <si>
    <t>Road area to be reclaimed (AC)</t>
  </si>
  <si>
    <t>Reclamation Components:</t>
  </si>
  <si>
    <t>Stockpile area to be reclaimed (AC)</t>
  </si>
  <si>
    <t>McQueen Townsite to be reclaimed (AC)</t>
  </si>
  <si>
    <t>Misc. areas to be reclaimed (AC)</t>
  </si>
  <si>
    <t>Misc. area (0-20% slope) (factor of 1.0)</t>
  </si>
  <si>
    <t>Misc. area (20-40% slope) (factor of 1.0525)</t>
  </si>
  <si>
    <t>**During review of historic features, DEQ and MR agreed that the Precip Plant Rail Road is pre-1971 infrastructure, however the permit exemption is limited to processing facilities</t>
  </si>
  <si>
    <t xml:space="preserve">Slightly more than half of this narrow, continuous feature is contained within Permit 00030. Shorter segments are contained within 00030A and #00041. </t>
  </si>
  <si>
    <t>Item 13 Miscellaneous Areas - ONLY Permits 00030A, 00041, AND 00108</t>
  </si>
  <si>
    <t>Estimated volumes of alluvium to cover the Misc. Areas:</t>
  </si>
  <si>
    <t>Stockpiles</t>
  </si>
  <si>
    <t>McQueen</t>
  </si>
  <si>
    <t>Misc Partial</t>
  </si>
  <si>
    <t>Task 1- Roads</t>
  </si>
  <si>
    <t>Task 2- Alluvium AND Soil Stockpiles</t>
  </si>
  <si>
    <t>Task 3- McQueen Townsite</t>
  </si>
  <si>
    <t>Task 4- Misc</t>
  </si>
  <si>
    <t>Task 5- Misc Partially Reclaimed</t>
  </si>
  <si>
    <t>Task 2- Alluvium and Soil Stockpiles</t>
  </si>
  <si>
    <t>Misc Partially Reclaimed areas (AC)</t>
  </si>
  <si>
    <t>Task 5</t>
  </si>
  <si>
    <t>Total Corrected Road Area</t>
  </si>
  <si>
    <t>Task 4- Misc.</t>
  </si>
  <si>
    <t>Reslope/Rip</t>
  </si>
  <si>
    <t>Rip</t>
  </si>
  <si>
    <t>Cap with 24 inches of alluvium</t>
  </si>
  <si>
    <t>Revegetate</t>
  </si>
  <si>
    <t>Cap with 28 inches of alluvium</t>
  </si>
  <si>
    <t>Total Corrected Misc. Area</t>
  </si>
  <si>
    <t>Reslope/Rip Areas, Total Cost</t>
  </si>
  <si>
    <t>Reslope/Rip Areas</t>
  </si>
  <si>
    <t>The Estimated Cost Regrading/Ripping</t>
  </si>
  <si>
    <t>Thickness of alluvium cover (IN)</t>
  </si>
  <si>
    <t>Areas to receive alluvium cover (AC)</t>
  </si>
  <si>
    <t>Estimated volume of alluvium (LCY)</t>
  </si>
  <si>
    <t>Length of Surface Water Ditches (FT)</t>
  </si>
  <si>
    <t>Construct Water Collection Ditches, Total Cost</t>
  </si>
  <si>
    <t>In the absence of a design for surface water channel protection, DEQ assumes the following:</t>
  </si>
  <si>
    <t>Road Reclaimed (0-20% slope) (factor of 1.0)</t>
  </si>
  <si>
    <t>Road Reclaimed (20-40% slope) (factor of 1.0525)</t>
  </si>
  <si>
    <t>According to the Reclamation Plan, the Central Zone alluvium will be used for reclamation material</t>
  </si>
  <si>
    <t>Misc.</t>
  </si>
  <si>
    <t>Equipment Cost (Cat D10T x 2)</t>
  </si>
  <si>
    <t>applying fertilizer, BMPs, etc.</t>
  </si>
  <si>
    <t>Rip Area</t>
  </si>
  <si>
    <t>Item 13 Miscellaneous Areas Total Cost</t>
  </si>
  <si>
    <t>Item 13 Miscellaneous Areas</t>
  </si>
  <si>
    <t>Concentrator Area Partially Reclaimed (EXEMPT)</t>
  </si>
  <si>
    <t>Primary Crusher Partially Reclaimed (EXEMPT)</t>
  </si>
  <si>
    <t>(See Misc tab)</t>
  </si>
  <si>
    <t>$500/acre in Misc tab</t>
  </si>
  <si>
    <t>Item 9 Earthwork - Dump Areas</t>
  </si>
  <si>
    <t>Item 9 Cost Summary for Earthwork - Dump Areas</t>
  </si>
  <si>
    <t>Item 9 Earthwork - Dump Areas Total Cost</t>
  </si>
  <si>
    <t>Item 9 Earthwork - Dump Areas- ONLY OP# 00030A, 00041, 00108</t>
  </si>
  <si>
    <t>Item 3 Great Northern Dump</t>
  </si>
  <si>
    <t>Item 4 Nalley Valley Dump</t>
  </si>
  <si>
    <t>Item 5 South Continental Pit Dump</t>
  </si>
  <si>
    <t>Acres in 00030A, 00041, and 00108</t>
  </si>
  <si>
    <t>Access</t>
  </si>
  <si>
    <t>Item 2 Woodville Dump- Partially Released</t>
  </si>
  <si>
    <t>Item 5 South Continental Pit Dump Crest</t>
  </si>
  <si>
    <t>All Pre-1974</t>
  </si>
  <si>
    <t xml:space="preserve">Item 1 </t>
  </si>
  <si>
    <t>Woodville</t>
  </si>
  <si>
    <t>Nalley Valley</t>
  </si>
  <si>
    <t>Item 4</t>
  </si>
  <si>
    <t>Item 5</t>
  </si>
  <si>
    <t>S. Cont. Pit</t>
  </si>
  <si>
    <t>The reclamation of dumps will include resloping the waste rock to a 2.7H:1V slope, covering with growth media, and establishing vegetation</t>
  </si>
  <si>
    <t>Slope Dozer Production Calculation</t>
  </si>
  <si>
    <t>Estimated from topography in 2025 Site plan Map</t>
  </si>
  <si>
    <t>The height of the dump (FT)</t>
  </si>
  <si>
    <t>Estimated from aerial imagery</t>
  </si>
  <si>
    <t>Dump-Top Dozer Production Calculation</t>
  </si>
  <si>
    <t>Leach pad- tab</t>
  </si>
  <si>
    <t>Area of Dump Top (AC)</t>
  </si>
  <si>
    <t>(0-20% slope) (factor of 1.0)</t>
  </si>
  <si>
    <t>(20-40% slope) (factor of 1.0525)</t>
  </si>
  <si>
    <t>Corrected Slope Acres</t>
  </si>
  <si>
    <t>Dump Top Acres</t>
  </si>
  <si>
    <t>Shown as Leach Pad</t>
  </si>
  <si>
    <t>Area of Dump Slope (AC) (Corrected for slope)</t>
  </si>
  <si>
    <t>Cover Thickness (IN)</t>
  </si>
  <si>
    <t>Leach Pad tab</t>
  </si>
  <si>
    <t>Volume of Alluvium Required - Dump Top (LCY)</t>
  </si>
  <si>
    <t>Volume of Alluvium Required - Dump Slope (LCY)</t>
  </si>
  <si>
    <t>Total Alluvium (LCY)</t>
  </si>
  <si>
    <t>Area (AC)</t>
  </si>
  <si>
    <t>To achieve full bond release in the future, DEQ recommended the following:</t>
  </si>
  <si>
    <t>Note:  Portions of this dump were later removed for the D East Pushback</t>
  </si>
  <si>
    <t>Item 2</t>
  </si>
  <si>
    <t>2008 Release Acres</t>
  </si>
  <si>
    <t>In 2008, MR requested bond release for resloping, soil placement, and vegetation establishment of the Woodville Dump (28 acres)</t>
  </si>
  <si>
    <t>The remaining Woodville Dump area (2.2 acres) will only be bonded for minor erosion repair, seeding, and weed control</t>
  </si>
  <si>
    <t>Some areas of previous reclamation have been disturbed by D-East Pushback</t>
  </si>
  <si>
    <t>Reslope Dump Slopes and Tops</t>
  </si>
  <si>
    <t>The underlying rock slope is bonded as the Nalley Valley dump (see Dump Areas tab)</t>
  </si>
  <si>
    <t>Item 1</t>
  </si>
  <si>
    <t>East Dump</t>
  </si>
  <si>
    <t>Hillcrest Dump</t>
  </si>
  <si>
    <t>North East Dump</t>
  </si>
  <si>
    <t>Pittsmont Dump</t>
  </si>
  <si>
    <t>Item 3</t>
  </si>
  <si>
    <t>Item 6</t>
  </si>
  <si>
    <t>Item 6 Pittsmont Dump</t>
  </si>
  <si>
    <t>Item 6 Pittsmont Dump Crest</t>
  </si>
  <si>
    <t>Pittsmont</t>
  </si>
  <si>
    <t>Access top estimated from aerial imagery</t>
  </si>
  <si>
    <t>Access Dump</t>
  </si>
  <si>
    <t>Woodville Dump</t>
  </si>
  <si>
    <t>Great Northern Dump</t>
  </si>
  <si>
    <t>Nalley Valley Dump</t>
  </si>
  <si>
    <t>S. Continental Pit Dump</t>
  </si>
  <si>
    <t>Task 2 Reclaim Pittsmont and Other Dumps</t>
  </si>
  <si>
    <t>Assume two Cat 10T are with the hauling operation, spreading the alluvium takes twice the hauling hours</t>
  </si>
  <si>
    <t>The estimated volume of alluvium:</t>
  </si>
  <si>
    <t>Fix erosion gullies by fixing source problems, installing temporary BMP's, replace lost soil, seed, and weed spray (2-3x per year)</t>
  </si>
  <si>
    <t>Task 2 Reclaim Pittsmont and Other Dumps, Total Cost</t>
  </si>
  <si>
    <t>Released</t>
  </si>
  <si>
    <t>The slopes of the will be covered with 20 inches of alluvium, while the top get covered with 28 inches of alluvium</t>
  </si>
  <si>
    <t>Top estimated from imagery, slope correction not needed</t>
  </si>
  <si>
    <t>Based on 2025 Site Plan Map, the East Dump acreage is:</t>
  </si>
  <si>
    <t>Only the East Dump (not partially reclaimed/released) needs resloping</t>
  </si>
  <si>
    <t>Item 1 East Dump</t>
  </si>
  <si>
    <t>Item 1 East Dump Crest</t>
  </si>
  <si>
    <t>Corrected for slope</t>
  </si>
  <si>
    <t>The reclamation of the East Dump would include:</t>
  </si>
  <si>
    <t>Without a surface water design for the Hillcrest Dump, to estimate reclamation cost DEQ makes the following assumptions:</t>
  </si>
  <si>
    <t>Reslope Dump Slopes and Tops, Total Cost</t>
  </si>
  <si>
    <t>Includes partially released areas</t>
  </si>
  <si>
    <t>Hillcrest Soil Hot Spots</t>
  </si>
  <si>
    <t>Acres (Slope corrected)</t>
  </si>
  <si>
    <t>Item 1 Embankment, Total Cost</t>
  </si>
  <si>
    <t>Summarized for 30-year period, see NPV table below</t>
  </si>
  <si>
    <t>Item 10  Earthwork - Leach Pads</t>
  </si>
  <si>
    <t>(CONFIRMED ON SUMMARY PAGE)</t>
  </si>
  <si>
    <t>The grading calculations only apply to the slopes which occur within OP 00030A</t>
  </si>
  <si>
    <t>N-S Embankment</t>
  </si>
  <si>
    <t>The tailings beach would not reach its full extent (under Amendment 010) in year 2025.</t>
  </si>
  <si>
    <t>The upstream face (between beach surface and dam crest) will need to be considered for each embankment, an elevation difference of 50 feet is assumed</t>
  </si>
  <si>
    <t>See 2025 Site Plan Map for permit boundaries and the defined boundaries for each embankment limb</t>
  </si>
  <si>
    <t>Crest length (length of Slope Reduction) in OP#00030A (FT)</t>
  </si>
  <si>
    <t>U/S Face</t>
  </si>
  <si>
    <t>D/S Face</t>
  </si>
  <si>
    <t>Downstream (D/S) Area (ac)</t>
  </si>
  <si>
    <t>Upstream (U/S) Area (ac)</t>
  </si>
  <si>
    <t>Crest Length Estimates:</t>
  </si>
  <si>
    <t>Embankment Height Estimates:</t>
  </si>
  <si>
    <t>X-Section</t>
  </si>
  <si>
    <t>West D/S is at final grade</t>
  </si>
  <si>
    <t>inside OP#00030</t>
  </si>
  <si>
    <t>63+00 N</t>
  </si>
  <si>
    <t>58+00 N</t>
  </si>
  <si>
    <t>53+00 N</t>
  </si>
  <si>
    <t>48+00 N</t>
  </si>
  <si>
    <t>43+00 N</t>
  </si>
  <si>
    <t>38+00 N</t>
  </si>
  <si>
    <t>33+00 N</t>
  </si>
  <si>
    <t>28+00 N</t>
  </si>
  <si>
    <t>23+00 N</t>
  </si>
  <si>
    <t>18+00 N</t>
  </si>
  <si>
    <t>13+00 N</t>
  </si>
  <si>
    <t>8+00 N</t>
  </si>
  <si>
    <t>Height (ft)</t>
  </si>
  <si>
    <t>see below</t>
  </si>
  <si>
    <t>N/A (30.9)</t>
  </si>
  <si>
    <t>N/A (6800)</t>
  </si>
  <si>
    <t>Total Crest Length</t>
  </si>
  <si>
    <t>Crest Length within OP#00030A:</t>
  </si>
  <si>
    <t>West Embank</t>
  </si>
  <si>
    <t>Average</t>
  </si>
  <si>
    <t xml:space="preserve"> From Crest to mid-level bench, remaining roads, or spillway edge</t>
  </si>
  <si>
    <t xml:space="preserve"> From Crest to lower road near WED extraction pond</t>
  </si>
  <si>
    <t>Entire Facility- Amend 010 Design Report</t>
  </si>
  <si>
    <t>From Crest to ground surface</t>
  </si>
  <si>
    <t>OP#00030A Only- 2025 Site Plan Map</t>
  </si>
  <si>
    <t>Based on the 2025 Site Plan Map and measurements on satellite imagery, the following dimensions are assumed for bonding:</t>
  </si>
  <si>
    <t>pre-1974</t>
  </si>
  <si>
    <t>U/S Face (from crest to tailings in 2025)</t>
  </si>
  <si>
    <t>NOVEMBER 2020</t>
  </si>
  <si>
    <t>Proposed- 5-Year Bond Review</t>
  </si>
  <si>
    <t>D/S Face, X-Section (from Amend 010 Design Report, 10/6/17)</t>
  </si>
  <si>
    <t>All other sections contained within OP#00030</t>
  </si>
  <si>
    <t>N-S  Embank D/S</t>
  </si>
  <si>
    <t>N-S  Embank U/S</t>
  </si>
  <si>
    <t>E-W Embank D/S</t>
  </si>
  <si>
    <t>E-W Embank U/S</t>
  </si>
  <si>
    <t>West Embank D/S</t>
  </si>
  <si>
    <t>West Embank U/S</t>
  </si>
  <si>
    <t>The estimated revegetation and weed spraying cost for a 5-year period is $1,500 per acre, which includes minor erosion repair and seeding, applying fertilizer, BMPs, etc.</t>
  </si>
  <si>
    <t>See Spillway tab calculations</t>
  </si>
  <si>
    <t>Electrical Cost per Year ($/YR)</t>
  </si>
  <si>
    <t>ACRES FOR CALCULATIONS BELOW</t>
  </si>
  <si>
    <t>Item 3 Exploration Disturbance Rolled Into OP</t>
  </si>
  <si>
    <t>Areas to bond at $500/acre</t>
  </si>
  <si>
    <t>These A&amp;E calculations apply to management and oversight for activities conducted from 2030-2055 (25 years) (see Post-Closure Reclamation tab)</t>
  </si>
  <si>
    <t xml:space="preserve">Previous Item 3 (Earthwork for Associated RDS) </t>
  </si>
  <si>
    <t>Removed</t>
  </si>
  <si>
    <t>North RDS would not exist in 2025, Great Northern RDS is under Dump Areas tab</t>
  </si>
  <si>
    <t>Example for commercial customer</t>
  </si>
  <si>
    <t>Monthly</t>
  </si>
  <si>
    <t>Annual</t>
  </si>
  <si>
    <t>Post-closure electrical costs are assumed to include office space and equipment, lighting/security around the facility, any hard-wired monitoring systems</t>
  </si>
  <si>
    <t>Electrical usage related to water treatment would apply to Superfund remedy costs, water management (WED) would not be needed in next 5 year period</t>
  </si>
  <si>
    <t>Accounted for in "Closure" timeframe</t>
  </si>
  <si>
    <t>Rounded</t>
  </si>
  <si>
    <r>
      <t xml:space="preserve">Berkeley Pit </t>
    </r>
    <r>
      <rPr>
        <b/>
        <sz val="11"/>
        <rFont val="Calibri"/>
        <family val="2"/>
        <scheme val="minor"/>
      </rPr>
      <t>(BMFOU)</t>
    </r>
  </si>
  <si>
    <r>
      <t xml:space="preserve">Berkeley Pit Water </t>
    </r>
    <r>
      <rPr>
        <b/>
        <sz val="11"/>
        <rFont val="Calibri"/>
        <family val="2"/>
        <scheme val="minor"/>
      </rPr>
      <t>(BMFOU)</t>
    </r>
  </si>
  <si>
    <r>
      <t xml:space="preserve">Concentrator Area </t>
    </r>
    <r>
      <rPr>
        <b/>
        <sz val="11"/>
        <rFont val="Calibri"/>
        <family val="2"/>
        <scheme val="minor"/>
      </rPr>
      <t>(EXEMPT)</t>
    </r>
  </si>
  <si>
    <r>
      <t xml:space="preserve">Concentrator Area Partially Reclaimed/Released </t>
    </r>
    <r>
      <rPr>
        <b/>
        <sz val="11"/>
        <rFont val="Calibri"/>
        <family val="2"/>
        <scheme val="minor"/>
      </rPr>
      <t>(EXEMPT)</t>
    </r>
  </si>
  <si>
    <r>
      <t xml:space="preserve">Continental Pit below 5410' NGVD29 </t>
    </r>
    <r>
      <rPr>
        <b/>
        <sz val="11"/>
        <rFont val="Calibri"/>
        <family val="2"/>
        <scheme val="minor"/>
      </rPr>
      <t>(BMFOU)</t>
    </r>
  </si>
  <si>
    <r>
      <t xml:space="preserve">HB Water Treatment Plant </t>
    </r>
    <r>
      <rPr>
        <b/>
        <sz val="11"/>
        <rFont val="Calibri"/>
        <family val="2"/>
        <scheme val="minor"/>
      </rPr>
      <t>(BMFOU)</t>
    </r>
  </si>
  <si>
    <r>
      <t xml:space="preserve">Historic Preservation </t>
    </r>
    <r>
      <rPr>
        <b/>
        <sz val="11"/>
        <rFont val="Calibri"/>
        <family val="2"/>
        <scheme val="minor"/>
      </rPr>
      <t>(GMMIA)</t>
    </r>
  </si>
  <si>
    <r>
      <t>Precipitation Plant Area</t>
    </r>
    <r>
      <rPr>
        <b/>
        <sz val="11"/>
        <rFont val="Calibri"/>
        <family val="2"/>
        <scheme val="minor"/>
      </rPr>
      <t xml:space="preserve"> (EXEMPT)</t>
    </r>
  </si>
  <si>
    <r>
      <t xml:space="preserve">Primary Crusher </t>
    </r>
    <r>
      <rPr>
        <b/>
        <sz val="11"/>
        <rFont val="Calibri"/>
        <family val="2"/>
        <scheme val="minor"/>
      </rPr>
      <t>(EXEMPT)</t>
    </r>
  </si>
  <si>
    <r>
      <t xml:space="preserve">Primary Crusher Partially Reclaimed/Released </t>
    </r>
    <r>
      <rPr>
        <b/>
        <sz val="11"/>
        <rFont val="Calibri"/>
        <family val="2"/>
        <scheme val="minor"/>
      </rPr>
      <t>(EXEMPT)</t>
    </r>
  </si>
  <si>
    <t>See Misc.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</si>
</sst>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0.00_)"/>
    <numFmt numFmtId="168" formatCode="#,##0.0"/>
    <numFmt numFmtId="169" formatCode="_(* #,##0.0_);_(* \(#,##0.0\);_(* &quot;-&quot;??_);_(@_)"/>
    <numFmt numFmtId="170" formatCode="&quot;$&quot;#,##0"/>
    <numFmt numFmtId="171" formatCode="_(* #,##0.0_);_(* \(#,##0.0\);_(* &quot;-&quot;?_);_(@_)"/>
    <numFmt numFmtId="172" formatCode="&quot;$&quot;#,##0.00"/>
    <numFmt numFmtId="173" formatCode="0.0_)"/>
    <numFmt numFmtId="174" formatCode="0.000"/>
    <numFmt numFmtId="175" formatCode="#,##0.0_);\(#,##0.0\)"/>
  </numFmts>
  <fonts count="65" x14ac:knownFonts="1">
    <font>
      <sz val="11"/>
      <color theme="1"/>
      <name val="Calibri"/>
      <family val="2"/>
      <scheme val="minor"/>
    </font>
    <font>
      <sz val="12"/>
      <name val="Arial"/>
      <family val="2"/>
    </font>
    <font>
      <sz val="10"/>
      <name val="Arial"/>
      <family val="2"/>
    </font>
    <font>
      <u/>
      <sz val="12"/>
      <name val="Arial"/>
      <family val="2"/>
    </font>
    <font>
      <sz val="11"/>
      <color theme="1"/>
      <name val="Calibri"/>
      <family val="2"/>
      <scheme val="minor"/>
    </font>
    <font>
      <b/>
      <sz val="11"/>
      <color theme="1"/>
      <name val="Calibri"/>
      <family val="2"/>
      <scheme val="minor"/>
    </font>
    <font>
      <sz val="12"/>
      <name val="Arial"/>
      <family val="2"/>
    </font>
    <font>
      <b/>
      <sz val="12"/>
      <name val="Arial"/>
      <family val="2"/>
    </font>
    <font>
      <sz val="12"/>
      <color rgb="FFFF0000"/>
      <name val="Arial"/>
      <family val="2"/>
    </font>
    <font>
      <sz val="12"/>
      <color rgb="FF00B0F0"/>
      <name val="Arial"/>
      <family val="2"/>
    </font>
    <font>
      <b/>
      <i/>
      <sz val="11"/>
      <name val="Calibri"/>
      <family val="2"/>
      <scheme val="minor"/>
    </font>
    <font>
      <b/>
      <sz val="11"/>
      <name val="Calibri"/>
      <family val="2"/>
      <scheme val="minor"/>
    </font>
    <font>
      <i/>
      <sz val="11"/>
      <name val="Calibri"/>
      <family val="2"/>
      <scheme val="minor"/>
    </font>
    <font>
      <sz val="10"/>
      <name val="Arial"/>
      <family val="2"/>
    </font>
    <font>
      <i/>
      <sz val="10"/>
      <name val="Arial"/>
      <family val="2"/>
    </font>
    <font>
      <sz val="11"/>
      <name val="Calibri"/>
      <family val="2"/>
      <scheme val="minor"/>
    </font>
    <font>
      <u/>
      <sz val="11"/>
      <name val="Calibri"/>
      <family val="2"/>
      <scheme val="minor"/>
    </font>
    <font>
      <u val="singleAccounting"/>
      <sz val="11"/>
      <name val="Calibri"/>
      <family val="2"/>
      <scheme val="minor"/>
    </font>
    <font>
      <sz val="11"/>
      <color rgb="FFFF0000"/>
      <name val="Calibri"/>
      <family val="2"/>
      <scheme val="minor"/>
    </font>
    <font>
      <sz val="9"/>
      <color indexed="8"/>
      <name val="Arial"/>
      <family val="2"/>
    </font>
    <font>
      <b/>
      <sz val="11"/>
      <color indexed="8"/>
      <name val="Calibri"/>
      <family val="2"/>
    </font>
    <font>
      <b/>
      <sz val="10"/>
      <color indexed="8"/>
      <name val="Calibri"/>
      <family val="2"/>
    </font>
    <font>
      <b/>
      <sz val="10"/>
      <color indexed="8"/>
      <name val="Calibri"/>
      <family val="1"/>
      <charset val="204"/>
    </font>
    <font>
      <sz val="6"/>
      <color indexed="8"/>
      <name val="Calibri"/>
      <family val="1"/>
      <charset val="204"/>
    </font>
    <font>
      <sz val="9"/>
      <color indexed="8"/>
      <name val="Calibri"/>
      <family val="1"/>
      <charset val="204"/>
    </font>
    <font>
      <sz val="8"/>
      <color indexed="8"/>
      <name val="Calibri"/>
      <family val="1"/>
      <charset val="204"/>
    </font>
    <font>
      <sz val="5"/>
      <color indexed="8"/>
      <name val="Calibri"/>
      <family val="1"/>
      <charset val="204"/>
    </font>
    <font>
      <i/>
      <sz val="11"/>
      <color theme="1"/>
      <name val="Calibri"/>
      <family val="2"/>
      <scheme val="minor"/>
    </font>
    <font>
      <b/>
      <sz val="14"/>
      <color theme="1"/>
      <name val="Calibri"/>
      <family val="2"/>
      <scheme val="minor"/>
    </font>
    <font>
      <sz val="14"/>
      <color theme="1"/>
      <name val="Calibri"/>
      <family val="2"/>
      <scheme val="minor"/>
    </font>
    <font>
      <u/>
      <sz val="11"/>
      <color theme="1"/>
      <name val="Calibri"/>
      <family val="2"/>
      <scheme val="minor"/>
    </font>
    <font>
      <sz val="10"/>
      <name val="Calibri"/>
      <family val="2"/>
      <scheme val="minor"/>
    </font>
    <font>
      <b/>
      <u/>
      <sz val="11"/>
      <color theme="1"/>
      <name val="Calibri"/>
      <family val="2"/>
      <scheme val="minor"/>
    </font>
    <font>
      <sz val="11.5"/>
      <name val="Calibri"/>
      <family val="2"/>
      <scheme val="minor"/>
    </font>
    <font>
      <vertAlign val="superscript"/>
      <sz val="11"/>
      <name val="Calibri"/>
      <family val="2"/>
      <scheme val="minor"/>
    </font>
    <font>
      <u/>
      <vertAlign val="superscript"/>
      <sz val="11"/>
      <name val="Calibri"/>
      <family val="2"/>
      <scheme val="minor"/>
    </font>
    <font>
      <b/>
      <sz val="14"/>
      <name val="Calibri"/>
      <family val="2"/>
      <scheme val="minor"/>
    </font>
    <font>
      <sz val="14"/>
      <name val="Calibri"/>
      <family val="2"/>
      <scheme val="minor"/>
    </font>
    <font>
      <i/>
      <sz val="9"/>
      <color theme="1"/>
      <name val="Calibri"/>
      <family val="2"/>
      <scheme val="minor"/>
    </font>
    <font>
      <sz val="11"/>
      <color theme="1"/>
      <name val="Arial"/>
      <family val="2"/>
    </font>
    <font>
      <sz val="12"/>
      <color theme="1"/>
      <name val="Arial"/>
      <family val="2"/>
    </font>
    <font>
      <b/>
      <sz val="16"/>
      <color theme="1"/>
      <name val="Calibri"/>
      <family val="2"/>
      <scheme val="minor"/>
    </font>
    <font>
      <b/>
      <i/>
      <sz val="12"/>
      <name val="Arial"/>
      <family val="2"/>
    </font>
    <font>
      <b/>
      <i/>
      <sz val="11"/>
      <color theme="1"/>
      <name val="Calibri"/>
      <family val="2"/>
      <scheme val="minor"/>
    </font>
    <font>
      <sz val="10"/>
      <color theme="1"/>
      <name val="Calibri"/>
      <family val="2"/>
      <scheme val="minor"/>
    </font>
    <font>
      <sz val="10"/>
      <color rgb="FFFF0000"/>
      <name val="Calibri"/>
      <family val="2"/>
      <scheme val="minor"/>
    </font>
    <font>
      <sz val="9"/>
      <color indexed="81"/>
      <name val="Tahoma"/>
      <family val="2"/>
    </font>
    <font>
      <b/>
      <sz val="9"/>
      <color indexed="81"/>
      <name val="Tahoma"/>
      <family val="2"/>
    </font>
    <font>
      <sz val="11"/>
      <color rgb="FF7030A0"/>
      <name val="Calibri"/>
      <family val="2"/>
      <scheme val="minor"/>
    </font>
    <font>
      <strike/>
      <sz val="11"/>
      <color rgb="FF7030A0"/>
      <name val="Calibri"/>
      <family val="2"/>
      <scheme val="minor"/>
    </font>
    <font>
      <b/>
      <sz val="11"/>
      <color rgb="FF00B050"/>
      <name val="Calibri"/>
      <family val="2"/>
      <scheme val="minor"/>
    </font>
    <font>
      <sz val="11"/>
      <color rgb="FF00B050"/>
      <name val="Calibri"/>
      <family val="2"/>
      <scheme val="minor"/>
    </font>
    <font>
      <b/>
      <sz val="11"/>
      <color rgb="FF7030A0"/>
      <name val="Calibri"/>
      <family val="2"/>
      <scheme val="minor"/>
    </font>
    <font>
      <b/>
      <sz val="12"/>
      <color rgb="FF7030A0"/>
      <name val="Arial"/>
      <family val="2"/>
    </font>
    <font>
      <b/>
      <i/>
      <strike/>
      <sz val="12"/>
      <color rgb="FF7030A0"/>
      <name val="Arial"/>
      <family val="2"/>
    </font>
    <font>
      <b/>
      <strike/>
      <sz val="12"/>
      <color rgb="FF7030A0"/>
      <name val="Arial"/>
      <family val="2"/>
    </font>
    <font>
      <sz val="11"/>
      <color rgb="FF000000"/>
      <name val="Calibri"/>
      <family val="2"/>
      <scheme val="minor"/>
    </font>
    <font>
      <u/>
      <sz val="10"/>
      <name val="Arial"/>
      <family val="2"/>
    </font>
    <font>
      <b/>
      <sz val="16"/>
      <name val="Calibri"/>
      <family val="2"/>
      <scheme val="minor"/>
    </font>
    <font>
      <strike/>
      <sz val="11"/>
      <name val="Calibri"/>
      <family val="2"/>
      <scheme val="minor"/>
    </font>
    <font>
      <strike/>
      <sz val="11"/>
      <color theme="1"/>
      <name val="Calibri"/>
      <family val="2"/>
      <scheme val="minor"/>
    </font>
    <font>
      <b/>
      <sz val="11"/>
      <color rgb="FFFF0000"/>
      <name val="Calibri"/>
      <family val="2"/>
      <scheme val="minor"/>
    </font>
    <font>
      <b/>
      <sz val="10"/>
      <name val="Calibri"/>
      <family val="2"/>
      <scheme val="minor"/>
    </font>
    <font>
      <b/>
      <u/>
      <sz val="11"/>
      <name val="Calibri"/>
      <family val="2"/>
      <scheme val="minor"/>
    </font>
    <font>
      <sz val="8"/>
      <name val="Calibri"/>
      <family val="2"/>
      <scheme val="minor"/>
    </font>
  </fonts>
  <fills count="12">
    <fill>
      <patternFill patternType="none"/>
    </fill>
    <fill>
      <patternFill patternType="gray125"/>
    </fill>
    <fill>
      <patternFill patternType="solid">
        <fgColor rgb="FF00B0F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bgColor indexed="64"/>
      </patternFill>
    </fill>
    <fill>
      <patternFill patternType="solid">
        <fgColor theme="9"/>
        <bgColor indexed="64"/>
      </patternFill>
    </fill>
    <fill>
      <patternFill patternType="solid">
        <fgColor theme="5" tint="0.39997558519241921"/>
        <bgColor indexed="64"/>
      </patternFill>
    </fill>
    <fill>
      <patternFill patternType="solid">
        <fgColor theme="0" tint="-0.14999847407452621"/>
        <bgColor indexed="64"/>
      </patternFill>
    </fill>
  </fills>
  <borders count="45">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diagonal/>
    </border>
    <border>
      <left/>
      <right style="medium">
        <color indexed="64"/>
      </right>
      <top style="thin">
        <color rgb="FF000000"/>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2">
    <xf numFmtId="0" fontId="0" fillId="0" borderId="0"/>
    <xf numFmtId="0" fontId="1" fillId="0" borderId="0"/>
    <xf numFmtId="44"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6" fillId="0" borderId="0"/>
    <xf numFmtId="0" fontId="6" fillId="0" borderId="0"/>
    <xf numFmtId="44" fontId="4" fillId="0" borderId="0" applyFont="0" applyFill="0" applyBorder="0" applyAlignment="0" applyProtection="0"/>
    <xf numFmtId="0" fontId="1" fillId="0" borderId="0"/>
    <xf numFmtId="43" fontId="2" fillId="0" borderId="0" applyFont="0" applyFill="0" applyBorder="0" applyAlignment="0" applyProtection="0"/>
    <xf numFmtId="9" fontId="4" fillId="0" borderId="0" applyFont="0" applyFill="0" applyBorder="0" applyAlignment="0" applyProtection="0"/>
    <xf numFmtId="0" fontId="4" fillId="0" borderId="0"/>
  </cellStyleXfs>
  <cellXfs count="640">
    <xf numFmtId="0" fontId="0" fillId="0" borderId="0" xfId="0"/>
    <xf numFmtId="49" fontId="0" fillId="0" borderId="0" xfId="0" applyNumberFormat="1"/>
    <xf numFmtId="0" fontId="0" fillId="0" borderId="0" xfId="0" applyAlignment="1">
      <alignment horizontal="center"/>
    </xf>
    <xf numFmtId="0" fontId="0" fillId="0" borderId="0" xfId="0" applyAlignment="1">
      <alignment horizontal="center" wrapText="1"/>
    </xf>
    <xf numFmtId="0" fontId="0" fillId="0" borderId="1" xfId="0" applyBorder="1" applyAlignment="1">
      <alignment horizontal="center"/>
    </xf>
    <xf numFmtId="0" fontId="5" fillId="0" borderId="0" xfId="0" applyFont="1"/>
    <xf numFmtId="165" fontId="0" fillId="0" borderId="0" xfId="4" applyNumberFormat="1" applyFont="1" applyBorder="1" applyAlignment="1">
      <alignment horizontal="center"/>
    </xf>
    <xf numFmtId="0" fontId="0" fillId="0" borderId="2" xfId="0" applyBorder="1"/>
    <xf numFmtId="0" fontId="0" fillId="0" borderId="3" xfId="0" applyBorder="1"/>
    <xf numFmtId="0" fontId="0" fillId="0" borderId="3" xfId="0" applyBorder="1" applyAlignment="1">
      <alignment horizontal="center"/>
    </xf>
    <xf numFmtId="0" fontId="0" fillId="0" borderId="4" xfId="0" applyBorder="1" applyAlignment="1">
      <alignment horizontal="center"/>
    </xf>
    <xf numFmtId="0" fontId="0" fillId="0" borderId="5" xfId="0" applyBorder="1"/>
    <xf numFmtId="0" fontId="0" fillId="0" borderId="6" xfId="0" applyBorder="1" applyAlignment="1">
      <alignment horizontal="center"/>
    </xf>
    <xf numFmtId="0" fontId="0" fillId="0" borderId="7" xfId="0" applyBorder="1"/>
    <xf numFmtId="0" fontId="0" fillId="0" borderId="8" xfId="0" applyBorder="1"/>
    <xf numFmtId="0" fontId="0" fillId="0" borderId="8" xfId="0" applyBorder="1" applyAlignment="1">
      <alignment horizontal="center"/>
    </xf>
    <xf numFmtId="0" fontId="0" fillId="0" borderId="9" xfId="0" applyBorder="1" applyAlignment="1">
      <alignment horizontal="center"/>
    </xf>
    <xf numFmtId="0" fontId="0" fillId="0" borderId="4" xfId="0" applyBorder="1"/>
    <xf numFmtId="0" fontId="0" fillId="0" borderId="6" xfId="0" applyBorder="1"/>
    <xf numFmtId="0" fontId="0" fillId="0" borderId="9" xfId="0" applyBorder="1"/>
    <xf numFmtId="0" fontId="0" fillId="0" borderId="1" xfId="0" applyBorder="1"/>
    <xf numFmtId="166" fontId="0" fillId="0" borderId="0" xfId="0" applyNumberFormat="1"/>
    <xf numFmtId="165" fontId="0" fillId="0" borderId="0" xfId="3" applyNumberFormat="1" applyFont="1"/>
    <xf numFmtId="165" fontId="0" fillId="0" borderId="0" xfId="4" applyNumberFormat="1" applyFont="1"/>
    <xf numFmtId="165" fontId="0" fillId="0" borderId="0" xfId="0" applyNumberFormat="1"/>
    <xf numFmtId="0" fontId="0" fillId="0" borderId="0" xfId="0" applyAlignment="1">
      <alignment horizontal="right"/>
    </xf>
    <xf numFmtId="164" fontId="0" fillId="0" borderId="0" xfId="0" applyNumberFormat="1"/>
    <xf numFmtId="0" fontId="6" fillId="0" borderId="0" xfId="5"/>
    <xf numFmtId="0" fontId="6" fillId="0" borderId="0" xfId="5" applyAlignment="1">
      <alignment horizontal="center"/>
    </xf>
    <xf numFmtId="167" fontId="6" fillId="0" borderId="0" xfId="5" applyNumberFormat="1"/>
    <xf numFmtId="0" fontId="6" fillId="0" borderId="0" xfId="5" applyAlignment="1">
      <alignment horizontal="centerContinuous"/>
    </xf>
    <xf numFmtId="0" fontId="7" fillId="0" borderId="0" xfId="5" applyFont="1"/>
    <xf numFmtId="167" fontId="6" fillId="0" borderId="0" xfId="5" applyNumberFormat="1" applyAlignment="1">
      <alignment horizontal="centerContinuous"/>
    </xf>
    <xf numFmtId="0" fontId="8" fillId="0" borderId="0" xfId="5" applyFont="1" applyAlignment="1">
      <alignment horizontal="center" wrapText="1"/>
    </xf>
    <xf numFmtId="0" fontId="8" fillId="0" borderId="0" xfId="5" applyFont="1" applyAlignment="1">
      <alignment horizontal="center"/>
    </xf>
    <xf numFmtId="0" fontId="3" fillId="0" borderId="0" xfId="5" applyFont="1"/>
    <xf numFmtId="0" fontId="3" fillId="0" borderId="0" xfId="5" applyFont="1" applyAlignment="1">
      <alignment horizontal="center"/>
    </xf>
    <xf numFmtId="9" fontId="6" fillId="0" borderId="0" xfId="5" applyNumberFormat="1"/>
    <xf numFmtId="2" fontId="8" fillId="0" borderId="0" xfId="5" applyNumberFormat="1" applyFont="1" applyAlignment="1">
      <alignment horizontal="center"/>
    </xf>
    <xf numFmtId="2" fontId="6" fillId="0" borderId="0" xfId="5" applyNumberFormat="1"/>
    <xf numFmtId="0" fontId="6" fillId="0" borderId="0" xfId="5" applyAlignment="1">
      <alignment horizontal="left"/>
    </xf>
    <xf numFmtId="0" fontId="6" fillId="0" borderId="0" xfId="5" quotePrefix="1"/>
    <xf numFmtId="0" fontId="9" fillId="0" borderId="0" xfId="5" applyFont="1"/>
    <xf numFmtId="2" fontId="9" fillId="0" borderId="0" xfId="5" applyNumberFormat="1" applyFont="1"/>
    <xf numFmtId="0" fontId="0" fillId="4" borderId="0" xfId="0" applyFill="1"/>
    <xf numFmtId="5" fontId="0" fillId="0" borderId="0" xfId="0" applyNumberFormat="1"/>
    <xf numFmtId="164" fontId="10" fillId="0" borderId="0" xfId="0" applyNumberFormat="1" applyFont="1"/>
    <xf numFmtId="0" fontId="10" fillId="0" borderId="0" xfId="0" applyFont="1"/>
    <xf numFmtId="0" fontId="11" fillId="0" borderId="0" xfId="0" applyFont="1"/>
    <xf numFmtId="0" fontId="12" fillId="4" borderId="0" xfId="0" applyFont="1" applyFill="1"/>
    <xf numFmtId="1" fontId="0" fillId="0" borderId="0" xfId="0" applyNumberFormat="1"/>
    <xf numFmtId="166" fontId="0" fillId="0" borderId="0" xfId="0" applyNumberFormat="1" applyAlignment="1">
      <alignment horizontal="center"/>
    </xf>
    <xf numFmtId="0" fontId="1" fillId="0" borderId="0" xfId="0" applyFont="1"/>
    <xf numFmtId="0" fontId="14" fillId="0" borderId="0" xfId="0" applyFont="1"/>
    <xf numFmtId="166" fontId="0" fillId="0" borderId="1" xfId="0" applyNumberFormat="1" applyBorder="1"/>
    <xf numFmtId="2" fontId="0" fillId="0" borderId="0" xfId="0" applyNumberFormat="1"/>
    <xf numFmtId="0" fontId="13" fillId="0" borderId="0" xfId="0" applyFont="1"/>
    <xf numFmtId="166" fontId="13" fillId="0" borderId="0" xfId="0" applyNumberFormat="1" applyFont="1"/>
    <xf numFmtId="0" fontId="13" fillId="0" borderId="0" xfId="0" applyFont="1" applyAlignment="1">
      <alignment horizontal="center"/>
    </xf>
    <xf numFmtId="164" fontId="0" fillId="0" borderId="0" xfId="7" applyNumberFormat="1" applyFont="1"/>
    <xf numFmtId="0" fontId="15" fillId="0" borderId="0" xfId="0" applyFont="1"/>
    <xf numFmtId="0" fontId="15" fillId="0" borderId="5" xfId="0" applyFont="1" applyBorder="1"/>
    <xf numFmtId="0" fontId="15" fillId="0" borderId="7" xfId="0" applyFont="1" applyBorder="1"/>
    <xf numFmtId="3" fontId="0" fillId="0" borderId="0" xfId="0" applyNumberFormat="1" applyAlignment="1">
      <alignment horizontal="center"/>
    </xf>
    <xf numFmtId="168" fontId="0" fillId="0" borderId="0" xfId="0" applyNumberFormat="1" applyAlignment="1">
      <alignment horizontal="center"/>
    </xf>
    <xf numFmtId="2" fontId="0" fillId="0" borderId="0" xfId="0" applyNumberFormat="1" applyAlignment="1">
      <alignment horizontal="center"/>
    </xf>
    <xf numFmtId="165" fontId="0" fillId="0" borderId="0" xfId="3" applyNumberFormat="1" applyFont="1" applyAlignment="1">
      <alignment horizontal="center"/>
    </xf>
    <xf numFmtId="3" fontId="0" fillId="0" borderId="1" xfId="0" applyNumberFormat="1" applyBorder="1" applyAlignment="1">
      <alignment horizontal="center"/>
    </xf>
    <xf numFmtId="165" fontId="0" fillId="0" borderId="1" xfId="3" applyNumberFormat="1" applyFont="1" applyBorder="1" applyAlignment="1">
      <alignment horizontal="center"/>
    </xf>
    <xf numFmtId="1" fontId="0" fillId="0" borderId="0" xfId="0" applyNumberFormat="1" applyAlignment="1">
      <alignment horizontal="center"/>
    </xf>
    <xf numFmtId="0" fontId="0" fillId="0" borderId="0" xfId="0" applyAlignment="1">
      <alignment horizontal="left"/>
    </xf>
    <xf numFmtId="43" fontId="0" fillId="0" borderId="0" xfId="3" applyFont="1" applyAlignment="1">
      <alignment horizontal="center"/>
    </xf>
    <xf numFmtId="1" fontId="13" fillId="0" borderId="0" xfId="0" applyNumberFormat="1" applyFont="1" applyAlignment="1">
      <alignment horizontal="center"/>
    </xf>
    <xf numFmtId="0" fontId="13" fillId="0" borderId="0" xfId="0" applyFont="1" applyAlignment="1">
      <alignment horizontal="left"/>
    </xf>
    <xf numFmtId="1" fontId="13" fillId="0" borderId="0" xfId="0" applyNumberFormat="1" applyFont="1" applyAlignment="1">
      <alignment horizontal="left"/>
    </xf>
    <xf numFmtId="166" fontId="13" fillId="0" borderId="0" xfId="0" applyNumberFormat="1" applyFont="1" applyAlignment="1">
      <alignment horizontal="center"/>
    </xf>
    <xf numFmtId="165" fontId="0" fillId="0" borderId="0" xfId="4" applyNumberFormat="1" applyFont="1" applyAlignment="1">
      <alignment horizontal="center"/>
    </xf>
    <xf numFmtId="164" fontId="0" fillId="0" borderId="0" xfId="7" applyNumberFormat="1" applyFont="1" applyAlignment="1">
      <alignment horizontal="center"/>
    </xf>
    <xf numFmtId="164" fontId="0" fillId="0" borderId="1" xfId="7" applyNumberFormat="1" applyFont="1" applyBorder="1" applyAlignment="1">
      <alignment horizontal="center"/>
    </xf>
    <xf numFmtId="0" fontId="12" fillId="0" borderId="0" xfId="0" applyFont="1"/>
    <xf numFmtId="165" fontId="0" fillId="0" borderId="0" xfId="4" applyNumberFormat="1" applyFont="1" applyBorder="1" applyAlignment="1"/>
    <xf numFmtId="165" fontId="0" fillId="0" borderId="14" xfId="4" applyNumberFormat="1" applyFont="1" applyBorder="1"/>
    <xf numFmtId="165" fontId="0" fillId="0" borderId="16" xfId="4" applyNumberFormat="1" applyFont="1" applyBorder="1"/>
    <xf numFmtId="165" fontId="0" fillId="0" borderId="0" xfId="4" applyNumberFormat="1" applyFont="1" applyBorder="1"/>
    <xf numFmtId="164" fontId="0" fillId="0" borderId="0" xfId="7" applyNumberFormat="1" applyFont="1" applyProtection="1"/>
    <xf numFmtId="166" fontId="0" fillId="0" borderId="0" xfId="7" applyNumberFormat="1" applyFont="1"/>
    <xf numFmtId="0" fontId="0" fillId="0" borderId="13" xfId="0" applyBorder="1"/>
    <xf numFmtId="0" fontId="0" fillId="0" borderId="15" xfId="0" applyBorder="1"/>
    <xf numFmtId="0" fontId="16" fillId="0" borderId="10" xfId="0" applyFont="1" applyBorder="1"/>
    <xf numFmtId="0" fontId="16" fillId="0" borderId="11" xfId="0" applyFont="1" applyBorder="1"/>
    <xf numFmtId="0" fontId="16" fillId="0" borderId="11" xfId="0" applyFont="1" applyBorder="1" applyAlignment="1">
      <alignment horizontal="center"/>
    </xf>
    <xf numFmtId="0" fontId="16" fillId="0" borderId="12" xfId="0" applyFont="1" applyBorder="1"/>
    <xf numFmtId="165" fontId="17" fillId="0" borderId="14" xfId="4" applyNumberFormat="1" applyFont="1" applyBorder="1"/>
    <xf numFmtId="0" fontId="0" fillId="0" borderId="0" xfId="5" applyFont="1"/>
    <xf numFmtId="164" fontId="0" fillId="0" borderId="0" xfId="2" applyNumberFormat="1" applyFont="1"/>
    <xf numFmtId="0" fontId="5" fillId="3" borderId="0" xfId="0" applyFont="1" applyFill="1"/>
    <xf numFmtId="0" fontId="0" fillId="3" borderId="0" xfId="0" applyFill="1"/>
    <xf numFmtId="164" fontId="0" fillId="0" borderId="1" xfId="0" applyNumberFormat="1" applyBorder="1"/>
    <xf numFmtId="165" fontId="0" fillId="0" borderId="0" xfId="3" applyNumberFormat="1" applyFont="1" applyFill="1" applyBorder="1" applyAlignment="1">
      <alignment horizontal="right"/>
    </xf>
    <xf numFmtId="165" fontId="0" fillId="0" borderId="1" xfId="4" applyNumberFormat="1" applyFont="1" applyBorder="1"/>
    <xf numFmtId="164" fontId="0" fillId="0" borderId="0" xfId="7" applyNumberFormat="1" applyFont="1" applyFill="1"/>
    <xf numFmtId="165" fontId="0" fillId="0" borderId="0" xfId="4" applyNumberFormat="1" applyFont="1" applyFill="1"/>
    <xf numFmtId="1" fontId="0" fillId="0" borderId="1" xfId="0" applyNumberFormat="1" applyBorder="1" applyAlignment="1">
      <alignment horizontal="center"/>
    </xf>
    <xf numFmtId="165" fontId="0" fillId="0" borderId="0" xfId="0" applyNumberFormat="1" applyAlignment="1">
      <alignment horizontal="center"/>
    </xf>
    <xf numFmtId="165" fontId="0" fillId="0" borderId="1" xfId="4" applyNumberFormat="1" applyFont="1" applyBorder="1" applyAlignment="1">
      <alignment horizontal="center"/>
    </xf>
    <xf numFmtId="170" fontId="5" fillId="4" borderId="0" xfId="7" applyNumberFormat="1" applyFont="1" applyFill="1"/>
    <xf numFmtId="0" fontId="0" fillId="0" borderId="0" xfId="0" applyAlignment="1">
      <alignment wrapText="1"/>
    </xf>
    <xf numFmtId="0" fontId="18" fillId="0" borderId="0" xfId="0" applyFont="1"/>
    <xf numFmtId="164" fontId="0" fillId="0" borderId="1" xfId="7" applyNumberFormat="1" applyFont="1" applyBorder="1"/>
    <xf numFmtId="164" fontId="0" fillId="0" borderId="0" xfId="7" applyNumberFormat="1" applyFont="1" applyBorder="1"/>
    <xf numFmtId="0" fontId="22" fillId="0" borderId="17" xfId="0" applyFont="1" applyBorder="1" applyAlignment="1">
      <alignment horizontal="center" vertical="top" wrapText="1"/>
    </xf>
    <xf numFmtId="1" fontId="19" fillId="0" borderId="17" xfId="0" applyNumberFormat="1" applyFont="1" applyBorder="1" applyAlignment="1">
      <alignment horizontal="center" vertical="top" shrinkToFit="1"/>
    </xf>
    <xf numFmtId="3" fontId="19" fillId="0" borderId="17" xfId="0" applyNumberFormat="1" applyFont="1" applyBorder="1" applyAlignment="1">
      <alignment horizontal="center" vertical="top" shrinkToFit="1"/>
    </xf>
    <xf numFmtId="0" fontId="22" fillId="0" borderId="26" xfId="0" applyFont="1" applyBorder="1" applyAlignment="1">
      <alignment horizontal="center" vertical="top" wrapText="1"/>
    </xf>
    <xf numFmtId="1" fontId="19" fillId="0" borderId="27" xfId="0" applyNumberFormat="1" applyFont="1" applyBorder="1" applyAlignment="1">
      <alignment horizontal="center" vertical="top" shrinkToFit="1"/>
    </xf>
    <xf numFmtId="1" fontId="19" fillId="0" borderId="26" xfId="0" applyNumberFormat="1" applyFont="1" applyBorder="1" applyAlignment="1">
      <alignment horizontal="center" vertical="top" shrinkToFit="1"/>
    </xf>
    <xf numFmtId="0" fontId="24" fillId="0" borderId="27" xfId="0" applyFont="1" applyBorder="1" applyAlignment="1">
      <alignment horizontal="center" vertical="top" wrapText="1"/>
    </xf>
    <xf numFmtId="165" fontId="18" fillId="0" borderId="0" xfId="4" applyNumberFormat="1" applyFont="1" applyAlignment="1">
      <alignment horizontal="center"/>
    </xf>
    <xf numFmtId="1" fontId="0" fillId="0" borderId="0" xfId="0" applyNumberFormat="1" applyAlignment="1">
      <alignment horizontal="right"/>
    </xf>
    <xf numFmtId="43" fontId="0" fillId="0" borderId="0" xfId="4" applyFont="1" applyAlignment="1">
      <alignment horizontal="center"/>
    </xf>
    <xf numFmtId="169" fontId="0" fillId="0" borderId="0" xfId="0" applyNumberFormat="1"/>
    <xf numFmtId="0" fontId="15" fillId="4" borderId="0" xfId="0" applyFont="1" applyFill="1"/>
    <xf numFmtId="164" fontId="0" fillId="4" borderId="0" xfId="7" applyNumberFormat="1" applyFont="1" applyFill="1"/>
    <xf numFmtId="44" fontId="0" fillId="0" borderId="0" xfId="7" applyFont="1" applyBorder="1" applyAlignment="1">
      <alignment horizontal="center"/>
    </xf>
    <xf numFmtId="164" fontId="15" fillId="4" borderId="0" xfId="0" applyNumberFormat="1" applyFont="1" applyFill="1"/>
    <xf numFmtId="0" fontId="28" fillId="3" borderId="0" xfId="0" applyFont="1" applyFill="1"/>
    <xf numFmtId="0" fontId="29" fillId="3" borderId="0" xfId="0" applyFont="1" applyFill="1"/>
    <xf numFmtId="165" fontId="0" fillId="0" borderId="1" xfId="0" applyNumberFormat="1" applyBorder="1"/>
    <xf numFmtId="1" fontId="15" fillId="0" borderId="0" xfId="0" applyNumberFormat="1" applyFont="1" applyAlignment="1">
      <alignment horizontal="center"/>
    </xf>
    <xf numFmtId="165" fontId="15" fillId="0" borderId="0" xfId="4" applyNumberFormat="1" applyFont="1"/>
    <xf numFmtId="0" fontId="5" fillId="0" borderId="3" xfId="0" applyFont="1" applyBorder="1"/>
    <xf numFmtId="8" fontId="0" fillId="0" borderId="0" xfId="0" applyNumberFormat="1"/>
    <xf numFmtId="4" fontId="0" fillId="0" borderId="0" xfId="0" applyNumberFormat="1" applyAlignment="1">
      <alignment horizontal="center"/>
    </xf>
    <xf numFmtId="4" fontId="0" fillId="0" borderId="0" xfId="0" applyNumberFormat="1"/>
    <xf numFmtId="14" fontId="5" fillId="0" borderId="0" xfId="0" applyNumberFormat="1" applyFont="1"/>
    <xf numFmtId="37" fontId="0" fillId="0" borderId="0" xfId="0" applyNumberFormat="1"/>
    <xf numFmtId="9" fontId="0" fillId="0" borderId="0" xfId="10" applyFont="1"/>
    <xf numFmtId="37" fontId="0" fillId="0" borderId="1" xfId="0" applyNumberFormat="1" applyBorder="1"/>
    <xf numFmtId="0" fontId="30" fillId="0" borderId="0" xfId="0" applyFont="1"/>
    <xf numFmtId="0" fontId="31" fillId="0" borderId="0" xfId="0" applyFont="1"/>
    <xf numFmtId="0" fontId="31" fillId="0" borderId="13" xfId="0" applyFont="1" applyBorder="1" applyAlignment="1">
      <alignment horizontal="right"/>
    </xf>
    <xf numFmtId="172" fontId="31" fillId="0" borderId="0" xfId="0" applyNumberFormat="1" applyFont="1" applyAlignment="1">
      <alignment horizontal="left"/>
    </xf>
    <xf numFmtId="0" fontId="31" fillId="0" borderId="13" xfId="0" applyFont="1" applyBorder="1"/>
    <xf numFmtId="172" fontId="30" fillId="0" borderId="0" xfId="0" applyNumberFormat="1" applyFont="1" applyAlignment="1">
      <alignment horizontal="left"/>
    </xf>
    <xf numFmtId="0" fontId="31" fillId="0" borderId="0" xfId="0" applyFont="1" applyAlignment="1">
      <alignment horizontal="left"/>
    </xf>
    <xf numFmtId="0" fontId="31" fillId="0" borderId="0" xfId="0" applyFont="1" applyAlignment="1">
      <alignment horizontal="right"/>
    </xf>
    <xf numFmtId="0" fontId="31" fillId="0" borderId="0" xfId="0" quotePrefix="1" applyFont="1"/>
    <xf numFmtId="170" fontId="31" fillId="0" borderId="0" xfId="0" applyNumberFormat="1" applyFont="1" applyAlignment="1">
      <alignment horizontal="center"/>
    </xf>
    <xf numFmtId="0" fontId="31" fillId="4" borderId="0" xfId="0" applyFont="1" applyFill="1"/>
    <xf numFmtId="0" fontId="15" fillId="0" borderId="0" xfId="0" applyFont="1" applyAlignment="1">
      <alignment horizontal="center"/>
    </xf>
    <xf numFmtId="0" fontId="33" fillId="0" borderId="0" xfId="0" applyFont="1"/>
    <xf numFmtId="0" fontId="16" fillId="0" borderId="0" xfId="0" applyFont="1" applyAlignment="1">
      <alignment horizontal="center"/>
    </xf>
    <xf numFmtId="172" fontId="16" fillId="0" borderId="0" xfId="0" applyNumberFormat="1" applyFont="1" applyAlignment="1">
      <alignment horizontal="center"/>
    </xf>
    <xf numFmtId="172" fontId="15" fillId="0" borderId="0" xfId="0" applyNumberFormat="1" applyFont="1"/>
    <xf numFmtId="0" fontId="33" fillId="0" borderId="0" xfId="0" applyFont="1" applyAlignment="1">
      <alignment horizontal="center"/>
    </xf>
    <xf numFmtId="172" fontId="33" fillId="0" borderId="0" xfId="0" applyNumberFormat="1" applyFont="1" applyAlignment="1">
      <alignment horizontal="center"/>
    </xf>
    <xf numFmtId="172" fontId="15" fillId="0" borderId="0" xfId="0" applyNumberFormat="1" applyFont="1" applyAlignment="1">
      <alignment horizontal="center"/>
    </xf>
    <xf numFmtId="170" fontId="15" fillId="0" borderId="0" xfId="0" applyNumberFormat="1" applyFont="1" applyAlignment="1">
      <alignment horizontal="center"/>
    </xf>
    <xf numFmtId="170" fontId="15" fillId="0" borderId="0" xfId="0" quotePrefix="1" applyNumberFormat="1" applyFont="1" applyAlignment="1">
      <alignment horizontal="center"/>
    </xf>
    <xf numFmtId="0" fontId="15" fillId="0" borderId="0" xfId="0" applyFont="1" applyAlignment="1">
      <alignment horizontal="center" wrapText="1"/>
    </xf>
    <xf numFmtId="0" fontId="15" fillId="0" borderId="2" xfId="0" applyFont="1" applyBorder="1"/>
    <xf numFmtId="0" fontId="15" fillId="0" borderId="3" xfId="0" applyFont="1" applyBorder="1"/>
    <xf numFmtId="0" fontId="15" fillId="0" borderId="3" xfId="0" applyFont="1" applyBorder="1" applyAlignment="1">
      <alignment horizontal="center"/>
    </xf>
    <xf numFmtId="0" fontId="15" fillId="0" borderId="8" xfId="0" applyFont="1" applyBorder="1"/>
    <xf numFmtId="0" fontId="15" fillId="0" borderId="8" xfId="0" applyFont="1" applyBorder="1" applyAlignment="1">
      <alignment horizontal="center"/>
    </xf>
    <xf numFmtId="0" fontId="15" fillId="0" borderId="8" xfId="0" applyFont="1" applyBorder="1" applyAlignment="1">
      <alignment horizontal="left"/>
    </xf>
    <xf numFmtId="0" fontId="32" fillId="0" borderId="0" xfId="0" applyFont="1"/>
    <xf numFmtId="172" fontId="15" fillId="0" borderId="1" xfId="0" applyNumberFormat="1" applyFont="1" applyBorder="1" applyAlignment="1">
      <alignment horizontal="center"/>
    </xf>
    <xf numFmtId="170" fontId="15" fillId="0" borderId="0" xfId="0" applyNumberFormat="1" applyFont="1" applyAlignment="1">
      <alignment horizontal="left"/>
    </xf>
    <xf numFmtId="0" fontId="15" fillId="0" borderId="13" xfId="0" applyFont="1" applyBorder="1" applyAlignment="1">
      <alignment horizontal="right"/>
    </xf>
    <xf numFmtId="0" fontId="15" fillId="0" borderId="13" xfId="0" applyFont="1" applyBorder="1"/>
    <xf numFmtId="170" fontId="15" fillId="0" borderId="0" xfId="0" applyNumberFormat="1" applyFont="1"/>
    <xf numFmtId="170" fontId="15" fillId="0" borderId="1" xfId="0" applyNumberFormat="1" applyFont="1" applyBorder="1" applyAlignment="1">
      <alignment horizontal="center"/>
    </xf>
    <xf numFmtId="170" fontId="30" fillId="0" borderId="0" xfId="0" applyNumberFormat="1" applyFont="1" applyAlignment="1">
      <alignment horizontal="left"/>
    </xf>
    <xf numFmtId="170" fontId="0" fillId="0" borderId="1" xfId="0" applyNumberFormat="1" applyBorder="1" applyAlignment="1">
      <alignment horizontal="center"/>
    </xf>
    <xf numFmtId="0" fontId="15" fillId="0" borderId="13" xfId="0" applyFont="1" applyBorder="1" applyAlignment="1">
      <alignment horizontal="left"/>
    </xf>
    <xf numFmtId="172" fontId="15" fillId="0" borderId="0" xfId="0" applyNumberFormat="1" applyFont="1" applyAlignment="1">
      <alignment horizontal="center" wrapText="1"/>
    </xf>
    <xf numFmtId="0" fontId="15" fillId="0" borderId="4" xfId="0" applyFont="1" applyBorder="1"/>
    <xf numFmtId="0" fontId="33" fillId="0" borderId="6" xfId="0" applyFont="1" applyBorder="1"/>
    <xf numFmtId="0" fontId="15" fillId="0" borderId="6" xfId="0" applyFont="1" applyBorder="1"/>
    <xf numFmtId="172" fontId="15" fillId="0" borderId="6" xfId="0" applyNumberFormat="1" applyFont="1" applyBorder="1"/>
    <xf numFmtId="0" fontId="31" fillId="0" borderId="5" xfId="0" applyFont="1" applyBorder="1"/>
    <xf numFmtId="0" fontId="15" fillId="0" borderId="6" xfId="0" applyFont="1" applyBorder="1" applyAlignment="1">
      <alignment horizontal="left"/>
    </xf>
    <xf numFmtId="170" fontId="15" fillId="0" borderId="8" xfId="0" applyNumberFormat="1" applyFont="1" applyBorder="1" applyAlignment="1">
      <alignment horizontal="center"/>
    </xf>
    <xf numFmtId="0" fontId="15" fillId="0" borderId="9" xfId="0" applyFont="1" applyBorder="1" applyAlignment="1">
      <alignment horizontal="left"/>
    </xf>
    <xf numFmtId="164" fontId="15" fillId="4" borderId="0" xfId="7" applyNumberFormat="1" applyFont="1" applyFill="1"/>
    <xf numFmtId="170" fontId="15" fillId="4" borderId="0" xfId="0" applyNumberFormat="1" applyFont="1" applyFill="1"/>
    <xf numFmtId="164" fontId="29" fillId="3" borderId="0" xfId="0" applyNumberFormat="1" applyFont="1" applyFill="1"/>
    <xf numFmtId="164" fontId="0" fillId="4" borderId="0" xfId="0" applyNumberFormat="1" applyFill="1"/>
    <xf numFmtId="0" fontId="0" fillId="5" borderId="0" xfId="0" applyFill="1"/>
    <xf numFmtId="43" fontId="0" fillId="0" borderId="0" xfId="0" applyNumberFormat="1"/>
    <xf numFmtId="164" fontId="29" fillId="3" borderId="0" xfId="7" applyNumberFormat="1" applyFont="1" applyFill="1"/>
    <xf numFmtId="165" fontId="0" fillId="0" borderId="0" xfId="3" applyNumberFormat="1" applyFont="1" applyProtection="1"/>
    <xf numFmtId="164" fontId="0" fillId="0" borderId="0" xfId="2" applyNumberFormat="1" applyFont="1" applyProtection="1"/>
    <xf numFmtId="49" fontId="0" fillId="0" borderId="0" xfId="0" applyNumberFormat="1" applyAlignment="1">
      <alignment horizontal="center"/>
    </xf>
    <xf numFmtId="164" fontId="15" fillId="0" borderId="1" xfId="2" applyNumberFormat="1" applyFont="1" applyBorder="1"/>
    <xf numFmtId="165" fontId="17" fillId="0" borderId="0" xfId="3" applyNumberFormat="1" applyFont="1"/>
    <xf numFmtId="164" fontId="11" fillId="0" borderId="0" xfId="0" applyNumberFormat="1" applyFont="1"/>
    <xf numFmtId="0" fontId="16" fillId="0" borderId="0" xfId="0" applyFont="1"/>
    <xf numFmtId="164" fontId="0" fillId="0" borderId="1" xfId="2" applyNumberFormat="1" applyFont="1" applyBorder="1"/>
    <xf numFmtId="44" fontId="0" fillId="0" borderId="0" xfId="7" applyFont="1"/>
    <xf numFmtId="0" fontId="30" fillId="0" borderId="0" xfId="0" applyFont="1" applyAlignment="1">
      <alignment horizontal="center"/>
    </xf>
    <xf numFmtId="44" fontId="0" fillId="0" borderId="0" xfId="0" applyNumberFormat="1"/>
    <xf numFmtId="0" fontId="29" fillId="0" borderId="0" xfId="0" applyFont="1"/>
    <xf numFmtId="172" fontId="0" fillId="0" borderId="0" xfId="0" applyNumberFormat="1" applyAlignment="1">
      <alignment horizontal="left"/>
    </xf>
    <xf numFmtId="172" fontId="0" fillId="0" borderId="0" xfId="0" applyNumberFormat="1"/>
    <xf numFmtId="173" fontId="0" fillId="0" borderId="0" xfId="0" applyNumberFormat="1"/>
    <xf numFmtId="3" fontId="0" fillId="0" borderId="0" xfId="0" applyNumberFormat="1" applyAlignment="1">
      <alignment horizontal="right"/>
    </xf>
    <xf numFmtId="3" fontId="0" fillId="0" borderId="0" xfId="0" applyNumberFormat="1"/>
    <xf numFmtId="164" fontId="17" fillId="0" borderId="0" xfId="2" applyNumberFormat="1" applyFont="1"/>
    <xf numFmtId="165" fontId="15" fillId="0" borderId="0" xfId="3" applyNumberFormat="1" applyFont="1" applyAlignment="1">
      <alignment horizontal="center"/>
    </xf>
    <xf numFmtId="4" fontId="15" fillId="0" borderId="0" xfId="0" applyNumberFormat="1" applyFont="1"/>
    <xf numFmtId="165" fontId="15" fillId="0" borderId="0" xfId="3" applyNumberFormat="1" applyFont="1"/>
    <xf numFmtId="1" fontId="15" fillId="0" borderId="0" xfId="0" applyNumberFormat="1" applyFont="1"/>
    <xf numFmtId="165" fontId="15" fillId="0" borderId="0" xfId="3" applyNumberFormat="1" applyFont="1" applyProtection="1"/>
    <xf numFmtId="44" fontId="0" fillId="0" borderId="1" xfId="0" applyNumberFormat="1" applyBorder="1"/>
    <xf numFmtId="0" fontId="27" fillId="0" borderId="0" xfId="0" applyFont="1"/>
    <xf numFmtId="37" fontId="18" fillId="0" borderId="0" xfId="0" applyNumberFormat="1" applyFont="1"/>
    <xf numFmtId="165" fontId="18" fillId="0" borderId="0" xfId="4" applyNumberFormat="1" applyFont="1"/>
    <xf numFmtId="0" fontId="39" fillId="0" borderId="0" xfId="6" applyFont="1"/>
    <xf numFmtId="0" fontId="39" fillId="0" borderId="0" xfId="6" quotePrefix="1" applyFont="1"/>
    <xf numFmtId="0" fontId="40" fillId="0" borderId="0" xfId="6" applyFont="1"/>
    <xf numFmtId="166" fontId="15" fillId="0" borderId="0" xfId="0" applyNumberFormat="1" applyFont="1"/>
    <xf numFmtId="164" fontId="15" fillId="0" borderId="0" xfId="7" applyNumberFormat="1" applyFont="1"/>
    <xf numFmtId="0" fontId="15" fillId="0" borderId="0" xfId="0" applyFont="1" applyAlignment="1">
      <alignment horizontal="right"/>
    </xf>
    <xf numFmtId="165" fontId="15" fillId="0" borderId="0" xfId="0" applyNumberFormat="1" applyFont="1"/>
    <xf numFmtId="165" fontId="15" fillId="0" borderId="0" xfId="4" applyNumberFormat="1" applyFont="1" applyAlignment="1">
      <alignment horizontal="center"/>
    </xf>
    <xf numFmtId="166" fontId="15" fillId="0" borderId="0" xfId="0" applyNumberFormat="1" applyFont="1" applyAlignment="1">
      <alignment horizontal="center"/>
    </xf>
    <xf numFmtId="164" fontId="15" fillId="0" borderId="1" xfId="7" applyNumberFormat="1" applyFont="1" applyBorder="1" applyAlignment="1">
      <alignment horizontal="center"/>
    </xf>
    <xf numFmtId="164" fontId="15" fillId="0" borderId="0" xfId="2" applyNumberFormat="1" applyFont="1"/>
    <xf numFmtId="164" fontId="15" fillId="0" borderId="0" xfId="0" applyNumberFormat="1" applyFont="1"/>
    <xf numFmtId="164" fontId="15" fillId="0" borderId="1" xfId="0" applyNumberFormat="1" applyFont="1" applyBorder="1"/>
    <xf numFmtId="0" fontId="41" fillId="0" borderId="0" xfId="0" applyFont="1"/>
    <xf numFmtId="0" fontId="5" fillId="0" borderId="0" xfId="0" applyFont="1" applyAlignment="1">
      <alignment horizontal="center"/>
    </xf>
    <xf numFmtId="166" fontId="5" fillId="0" borderId="0" xfId="0" applyNumberFormat="1" applyFont="1"/>
    <xf numFmtId="0" fontId="5" fillId="0" borderId="0" xfId="0" applyFont="1" applyAlignment="1">
      <alignment horizontal="right"/>
    </xf>
    <xf numFmtId="166" fontId="5" fillId="0" borderId="0" xfId="0" applyNumberFormat="1" applyFont="1" applyAlignment="1">
      <alignment horizontal="center"/>
    </xf>
    <xf numFmtId="0" fontId="27" fillId="0" borderId="0" xfId="0" applyFont="1" applyAlignment="1">
      <alignment horizontal="left"/>
    </xf>
    <xf numFmtId="0" fontId="38" fillId="0" borderId="0" xfId="0" applyFont="1"/>
    <xf numFmtId="9" fontId="0" fillId="0" borderId="0" xfId="10" applyFont="1" applyFill="1" applyBorder="1" applyAlignment="1">
      <alignment horizontal="center"/>
    </xf>
    <xf numFmtId="165" fontId="0" fillId="0" borderId="0" xfId="4" applyNumberFormat="1" applyFont="1" applyFill="1" applyBorder="1"/>
    <xf numFmtId="171" fontId="0" fillId="0" borderId="0" xfId="0" applyNumberFormat="1"/>
    <xf numFmtId="9" fontId="0" fillId="0" borderId="0" xfId="10" applyFont="1" applyFill="1" applyBorder="1"/>
    <xf numFmtId="164" fontId="0" fillId="0" borderId="0" xfId="7" applyNumberFormat="1" applyFont="1" applyFill="1" applyBorder="1"/>
    <xf numFmtId="0" fontId="28" fillId="0" borderId="0" xfId="0" applyFont="1"/>
    <xf numFmtId="164" fontId="28" fillId="0" borderId="0" xfId="0" applyNumberFormat="1" applyFont="1"/>
    <xf numFmtId="3" fontId="0" fillId="0" borderId="0" xfId="4" applyNumberFormat="1" applyFont="1" applyAlignment="1">
      <alignment horizontal="center"/>
    </xf>
    <xf numFmtId="9" fontId="0" fillId="0" borderId="0" xfId="0" applyNumberFormat="1" applyAlignment="1">
      <alignment horizontal="right"/>
    </xf>
    <xf numFmtId="165" fontId="0" fillId="0" borderId="0" xfId="4" applyNumberFormat="1" applyFont="1" applyBorder="1" applyAlignment="1">
      <alignment horizontal="right"/>
    </xf>
    <xf numFmtId="165" fontId="0" fillId="0" borderId="0" xfId="4" applyNumberFormat="1" applyFont="1" applyAlignment="1">
      <alignment horizontal="right"/>
    </xf>
    <xf numFmtId="7" fontId="0" fillId="0" borderId="0" xfId="0" applyNumberFormat="1"/>
    <xf numFmtId="1" fontId="15" fillId="0" borderId="1" xfId="0" applyNumberFormat="1" applyFont="1" applyBorder="1" applyAlignment="1">
      <alignment horizontal="center"/>
    </xf>
    <xf numFmtId="0" fontId="16" fillId="0" borderId="0" xfId="0" applyFont="1" applyAlignment="1">
      <alignment wrapText="1"/>
    </xf>
    <xf numFmtId="3" fontId="15" fillId="0" borderId="0" xfId="0" applyNumberFormat="1" applyFont="1" applyAlignment="1">
      <alignment horizontal="center"/>
    </xf>
    <xf numFmtId="3" fontId="15" fillId="0" borderId="0" xfId="0" applyNumberFormat="1" applyFont="1" applyAlignment="1">
      <alignment horizontal="center" wrapText="1"/>
    </xf>
    <xf numFmtId="3" fontId="15" fillId="0" borderId="0" xfId="4" applyNumberFormat="1" applyFont="1" applyAlignment="1">
      <alignment horizontal="center" wrapText="1"/>
    </xf>
    <xf numFmtId="3" fontId="17" fillId="0" borderId="0" xfId="4" applyNumberFormat="1" applyFont="1" applyAlignment="1">
      <alignment horizontal="center"/>
    </xf>
    <xf numFmtId="3" fontId="16" fillId="0" borderId="0" xfId="0" applyNumberFormat="1" applyFont="1" applyAlignment="1">
      <alignment horizontal="center"/>
    </xf>
    <xf numFmtId="3" fontId="16" fillId="0" borderId="0" xfId="4" applyNumberFormat="1" applyFont="1" applyAlignment="1">
      <alignment horizontal="center" vertical="justify"/>
    </xf>
    <xf numFmtId="1" fontId="0" fillId="0" borderId="0" xfId="7" applyNumberFormat="1" applyFont="1"/>
    <xf numFmtId="0" fontId="42" fillId="0" borderId="0" xfId="0" applyFont="1"/>
    <xf numFmtId="0" fontId="7" fillId="0" borderId="0" xfId="0" applyFont="1"/>
    <xf numFmtId="164" fontId="42" fillId="0" borderId="0" xfId="0" applyNumberFormat="1" applyFont="1"/>
    <xf numFmtId="165" fontId="0" fillId="0" borderId="1" xfId="3" applyNumberFormat="1" applyFont="1" applyBorder="1"/>
    <xf numFmtId="0" fontId="15" fillId="0" borderId="0" xfId="0" applyFont="1" applyAlignment="1">
      <alignment horizontal="left"/>
    </xf>
    <xf numFmtId="1" fontId="16" fillId="0" borderId="0" xfId="0" applyNumberFormat="1" applyFont="1" applyAlignment="1">
      <alignment horizontal="center"/>
    </xf>
    <xf numFmtId="2" fontId="18" fillId="0" borderId="0" xfId="0" applyNumberFormat="1" applyFont="1"/>
    <xf numFmtId="0" fontId="37" fillId="3" borderId="0" xfId="0" applyFont="1" applyFill="1"/>
    <xf numFmtId="0" fontId="44" fillId="0" borderId="0" xfId="0" applyFont="1"/>
    <xf numFmtId="0" fontId="44" fillId="0" borderId="0" xfId="0" applyFont="1" applyAlignment="1">
      <alignment horizontal="center"/>
    </xf>
    <xf numFmtId="1" fontId="44" fillId="0" borderId="0" xfId="0" applyNumberFormat="1" applyFont="1" applyAlignment="1">
      <alignment horizontal="center"/>
    </xf>
    <xf numFmtId="165" fontId="44" fillId="0" borderId="0" xfId="3" applyNumberFormat="1" applyFont="1"/>
    <xf numFmtId="1" fontId="44" fillId="0" borderId="0" xfId="0" applyNumberFormat="1" applyFont="1"/>
    <xf numFmtId="165" fontId="44" fillId="0" borderId="0" xfId="3" applyNumberFormat="1" applyFont="1" applyAlignment="1">
      <alignment horizontal="left"/>
    </xf>
    <xf numFmtId="0" fontId="0" fillId="0" borderId="0" xfId="0" applyAlignment="1">
      <alignment horizontal="right" indent="1"/>
    </xf>
    <xf numFmtId="164" fontId="15" fillId="0" borderId="0" xfId="7" applyNumberFormat="1" applyFont="1" applyFill="1"/>
    <xf numFmtId="0" fontId="5" fillId="0" borderId="5" xfId="0" applyFont="1" applyBorder="1"/>
    <xf numFmtId="0" fontId="0" fillId="0" borderId="0" xfId="11" applyFont="1"/>
    <xf numFmtId="0" fontId="36" fillId="0" borderId="5" xfId="0" applyFont="1" applyBorder="1"/>
    <xf numFmtId="0" fontId="36" fillId="0" borderId="7" xfId="0" applyFont="1" applyBorder="1"/>
    <xf numFmtId="165" fontId="45" fillId="0" borderId="0" xfId="3" applyNumberFormat="1" applyFont="1"/>
    <xf numFmtId="0" fontId="45" fillId="0" borderId="0" xfId="0" applyFont="1"/>
    <xf numFmtId="0" fontId="49" fillId="0" borderId="0" xfId="0" applyFont="1"/>
    <xf numFmtId="0" fontId="50" fillId="0" borderId="0" xfId="0" applyFont="1"/>
    <xf numFmtId="164" fontId="51" fillId="0" borderId="0" xfId="7" applyNumberFormat="1" applyFont="1"/>
    <xf numFmtId="0" fontId="51" fillId="0" borderId="0" xfId="0" applyFont="1"/>
    <xf numFmtId="0" fontId="50" fillId="0" borderId="0" xfId="0" applyFont="1" applyAlignment="1">
      <alignment horizontal="center"/>
    </xf>
    <xf numFmtId="0" fontId="48" fillId="0" borderId="0" xfId="0" applyFont="1" applyAlignment="1">
      <alignment horizontal="center"/>
    </xf>
    <xf numFmtId="164" fontId="0" fillId="0" borderId="6" xfId="0" applyNumberFormat="1" applyBorder="1"/>
    <xf numFmtId="0" fontId="51" fillId="0" borderId="0" xfId="0" applyFont="1" applyAlignment="1">
      <alignment wrapText="1"/>
    </xf>
    <xf numFmtId="1" fontId="51" fillId="0" borderId="0" xfId="0" applyNumberFormat="1" applyFont="1" applyAlignment="1">
      <alignment horizontal="center"/>
    </xf>
    <xf numFmtId="0" fontId="48" fillId="0" borderId="0" xfId="0" applyFont="1"/>
    <xf numFmtId="164" fontId="48" fillId="0" borderId="0" xfId="7" applyNumberFormat="1" applyFont="1"/>
    <xf numFmtId="164" fontId="0" fillId="0" borderId="31" xfId="0" applyNumberFormat="1" applyBorder="1"/>
    <xf numFmtId="0" fontId="11" fillId="4" borderId="0" xfId="0" applyFont="1" applyFill="1"/>
    <xf numFmtId="164" fontId="51" fillId="0" borderId="0" xfId="7" applyNumberFormat="1" applyFont="1" applyBorder="1"/>
    <xf numFmtId="0" fontId="15" fillId="0" borderId="1" xfId="0" applyFont="1" applyBorder="1" applyAlignment="1">
      <alignment horizontal="center" vertical="center" wrapText="1"/>
    </xf>
    <xf numFmtId="44" fontId="15" fillId="0" borderId="0" xfId="7" applyFont="1"/>
    <xf numFmtId="44" fontId="15" fillId="0" borderId="1" xfId="7" applyFont="1" applyBorder="1"/>
    <xf numFmtId="0" fontId="0" fillId="0" borderId="0" xfId="0" quotePrefix="1" applyAlignment="1">
      <alignment horizontal="center"/>
    </xf>
    <xf numFmtId="3" fontId="0" fillId="0" borderId="1" xfId="3" applyNumberFormat="1" applyFont="1" applyBorder="1" applyAlignment="1">
      <alignment horizontal="center"/>
    </xf>
    <xf numFmtId="166" fontId="2" fillId="0" borderId="0" xfId="0" applyNumberFormat="1" applyFont="1"/>
    <xf numFmtId="0" fontId="43" fillId="0" borderId="0" xfId="0" applyFont="1"/>
    <xf numFmtId="44" fontId="0" fillId="0" borderId="0" xfId="7" applyFont="1" applyFill="1"/>
    <xf numFmtId="44" fontId="0" fillId="0" borderId="1" xfId="7" applyFont="1" applyFill="1" applyBorder="1"/>
    <xf numFmtId="44" fontId="0" fillId="0" borderId="1" xfId="7" applyFont="1" applyBorder="1"/>
    <xf numFmtId="165" fontId="0" fillId="0" borderId="0" xfId="4" applyNumberFormat="1" applyFont="1" applyFill="1" applyAlignment="1">
      <alignment horizontal="right"/>
    </xf>
    <xf numFmtId="0" fontId="5" fillId="0" borderId="10" xfId="0" applyFont="1" applyBorder="1"/>
    <xf numFmtId="0" fontId="5" fillId="0" borderId="13" xfId="0" applyFont="1" applyBorder="1"/>
    <xf numFmtId="49" fontId="5" fillId="0" borderId="13" xfId="0" applyNumberFormat="1" applyFont="1" applyBorder="1"/>
    <xf numFmtId="0" fontId="27" fillId="0" borderId="0" xfId="0" applyFont="1" applyAlignment="1">
      <alignment horizontal="center"/>
    </xf>
    <xf numFmtId="0" fontId="52" fillId="0" borderId="0" xfId="0" applyFont="1" applyAlignment="1">
      <alignment horizontal="right"/>
    </xf>
    <xf numFmtId="0" fontId="53" fillId="0" borderId="0" xfId="5" applyFont="1" applyAlignment="1">
      <alignment horizontal="center"/>
    </xf>
    <xf numFmtId="49" fontId="5" fillId="0" borderId="0" xfId="0" applyNumberFormat="1" applyFont="1"/>
    <xf numFmtId="1" fontId="48" fillId="0" borderId="0" xfId="0" applyNumberFormat="1" applyFont="1" applyAlignment="1">
      <alignment horizontal="center"/>
    </xf>
    <xf numFmtId="5" fontId="7" fillId="0" borderId="0" xfId="5" applyNumberFormat="1" applyFont="1"/>
    <xf numFmtId="5" fontId="7" fillId="0" borderId="0" xfId="5" applyNumberFormat="1" applyFont="1" applyAlignment="1">
      <alignment horizontal="right"/>
    </xf>
    <xf numFmtId="5" fontId="6" fillId="0" borderId="0" xfId="5" applyNumberFormat="1"/>
    <xf numFmtId="0" fontId="3" fillId="0" borderId="0" xfId="5" applyFont="1" applyAlignment="1">
      <alignment horizontal="centerContinuous"/>
    </xf>
    <xf numFmtId="167" fontId="3" fillId="0" borderId="0" xfId="5" applyNumberFormat="1" applyFont="1" applyAlignment="1">
      <alignment horizontal="centerContinuous"/>
    </xf>
    <xf numFmtId="167" fontId="6" fillId="0" borderId="0" xfId="5" applyNumberFormat="1" applyAlignment="1">
      <alignment horizontal="centerContinuous" vertical="top"/>
    </xf>
    <xf numFmtId="167" fontId="6" fillId="0" borderId="0" xfId="5" applyNumberFormat="1" applyAlignment="1">
      <alignment horizontal="center"/>
    </xf>
    <xf numFmtId="5" fontId="6" fillId="0" borderId="0" xfId="5" applyNumberFormat="1" applyAlignment="1">
      <alignment horizontal="center"/>
    </xf>
    <xf numFmtId="2" fontId="6" fillId="7" borderId="0" xfId="5" applyNumberFormat="1" applyFill="1"/>
    <xf numFmtId="2" fontId="6" fillId="6" borderId="0" xfId="5" applyNumberFormat="1" applyFill="1"/>
    <xf numFmtId="7" fontId="6" fillId="0" borderId="0" xfId="5" applyNumberFormat="1"/>
    <xf numFmtId="2" fontId="6" fillId="2" borderId="0" xfId="5" applyNumberFormat="1" applyFill="1"/>
    <xf numFmtId="0" fontId="6" fillId="0" borderId="0" xfId="6" quotePrefix="1"/>
    <xf numFmtId="0" fontId="6" fillId="0" borderId="0" xfId="6" applyAlignment="1">
      <alignment horizontal="center"/>
    </xf>
    <xf numFmtId="2" fontId="6" fillId="7" borderId="0" xfId="6" applyNumberFormat="1" applyFill="1"/>
    <xf numFmtId="0" fontId="6" fillId="0" borderId="0" xfId="6"/>
    <xf numFmtId="2" fontId="6" fillId="0" borderId="0" xfId="6" applyNumberFormat="1"/>
    <xf numFmtId="0" fontId="6" fillId="0" borderId="0" xfId="5" quotePrefix="1" applyAlignment="1">
      <alignment horizontal="center"/>
    </xf>
    <xf numFmtId="165" fontId="1" fillId="0" borderId="0" xfId="3" applyNumberFormat="1" applyFont="1" applyAlignment="1">
      <alignment horizontal="center"/>
    </xf>
    <xf numFmtId="49" fontId="6" fillId="0" borderId="0" xfId="5" applyNumberFormat="1" applyAlignment="1">
      <alignment horizontal="center"/>
    </xf>
    <xf numFmtId="44" fontId="6" fillId="0" borderId="0" xfId="7" applyFont="1"/>
    <xf numFmtId="0" fontId="48" fillId="0" borderId="5" xfId="0" applyFont="1" applyBorder="1" applyAlignment="1">
      <alignment horizontal="right"/>
    </xf>
    <xf numFmtId="0" fontId="18" fillId="0" borderId="0" xfId="0" applyFont="1" applyAlignment="1">
      <alignment horizontal="center"/>
    </xf>
    <xf numFmtId="0" fontId="54" fillId="0" borderId="0" xfId="0" applyFont="1"/>
    <xf numFmtId="0" fontId="55" fillId="0" borderId="0" xfId="0" applyFont="1"/>
    <xf numFmtId="164" fontId="54" fillId="0" borderId="0" xfId="0" applyNumberFormat="1" applyFont="1"/>
    <xf numFmtId="0" fontId="5" fillId="0" borderId="2" xfId="0" applyFont="1" applyBorder="1"/>
    <xf numFmtId="164" fontId="5" fillId="0" borderId="0" xfId="0" applyNumberFormat="1" applyFont="1"/>
    <xf numFmtId="1" fontId="52" fillId="0" borderId="0" xfId="0" applyNumberFormat="1" applyFont="1" applyAlignment="1">
      <alignment horizontal="center"/>
    </xf>
    <xf numFmtId="166" fontId="52" fillId="0" borderId="0" xfId="0" applyNumberFormat="1" applyFont="1" applyAlignment="1">
      <alignment horizontal="center"/>
    </xf>
    <xf numFmtId="164" fontId="28" fillId="3" borderId="0" xfId="0" applyNumberFormat="1" applyFont="1" applyFill="1"/>
    <xf numFmtId="0" fontId="56" fillId="0" borderId="0" xfId="0" applyFont="1"/>
    <xf numFmtId="0" fontId="16" fillId="0" borderId="12" xfId="0" applyFont="1" applyBorder="1" applyAlignment="1">
      <alignment horizontal="center"/>
    </xf>
    <xf numFmtId="165" fontId="0" fillId="0" borderId="14" xfId="4" applyNumberFormat="1" applyFont="1" applyBorder="1" applyAlignment="1">
      <alignment horizontal="center"/>
    </xf>
    <xf numFmtId="165" fontId="0" fillId="0" borderId="1" xfId="0" applyNumberFormat="1" applyBorder="1" applyAlignment="1">
      <alignment horizontal="center"/>
    </xf>
    <xf numFmtId="165" fontId="17" fillId="0" borderId="16" xfId="4" applyNumberFormat="1" applyFont="1" applyBorder="1" applyAlignment="1">
      <alignment horizontal="center"/>
    </xf>
    <xf numFmtId="166" fontId="15" fillId="0" borderId="32" xfId="0" applyNumberFormat="1" applyFont="1" applyBorder="1" applyAlignment="1">
      <alignment horizontal="center"/>
    </xf>
    <xf numFmtId="0" fontId="0" fillId="0" borderId="32" xfId="0" applyBorder="1" applyAlignment="1">
      <alignment horizontal="center"/>
    </xf>
    <xf numFmtId="0" fontId="0" fillId="0" borderId="32" xfId="0" applyBorder="1"/>
    <xf numFmtId="165" fontId="0" fillId="0" borderId="32" xfId="4" applyNumberFormat="1" applyFont="1" applyBorder="1" applyAlignment="1">
      <alignment horizontal="center"/>
    </xf>
    <xf numFmtId="2" fontId="0" fillId="0" borderId="32" xfId="0" applyNumberFormat="1" applyBorder="1" applyAlignment="1">
      <alignment horizontal="center"/>
    </xf>
    <xf numFmtId="166" fontId="0" fillId="0" borderId="32" xfId="0" applyNumberFormat="1" applyBorder="1" applyAlignment="1">
      <alignment horizontal="center"/>
    </xf>
    <xf numFmtId="0" fontId="57" fillId="0" borderId="0" xfId="0" applyFont="1"/>
    <xf numFmtId="0" fontId="2" fillId="0" borderId="0" xfId="0" applyFont="1" applyAlignment="1">
      <alignment horizontal="center"/>
    </xf>
    <xf numFmtId="0" fontId="2" fillId="0" borderId="0" xfId="0" applyFont="1" applyAlignment="1">
      <alignment horizontal="left"/>
    </xf>
    <xf numFmtId="166" fontId="0" fillId="0" borderId="32" xfId="0" applyNumberFormat="1" applyBorder="1"/>
    <xf numFmtId="1" fontId="0" fillId="0" borderId="32" xfId="0" applyNumberFormat="1" applyBorder="1"/>
    <xf numFmtId="165" fontId="0" fillId="0" borderId="32" xfId="4" applyNumberFormat="1" applyFont="1" applyBorder="1"/>
    <xf numFmtId="165" fontId="5" fillId="0" borderId="0" xfId="4" applyNumberFormat="1" applyFont="1" applyFill="1"/>
    <xf numFmtId="2" fontId="0" fillId="0" borderId="32" xfId="0" applyNumberFormat="1" applyBorder="1"/>
    <xf numFmtId="165" fontId="5" fillId="0" borderId="32" xfId="4" applyNumberFormat="1" applyFont="1" applyFill="1" applyBorder="1"/>
    <xf numFmtId="0" fontId="0" fillId="0" borderId="32" xfId="0" applyBorder="1" applyAlignment="1">
      <alignment horizontal="right"/>
    </xf>
    <xf numFmtId="166" fontId="2" fillId="0" borderId="32" xfId="0" applyNumberFormat="1" applyFont="1" applyBorder="1" applyAlignment="1">
      <alignment horizontal="right"/>
    </xf>
    <xf numFmtId="1" fontId="2" fillId="0" borderId="32" xfId="0" applyNumberFormat="1" applyFont="1" applyBorder="1" applyAlignment="1">
      <alignment horizontal="right"/>
    </xf>
    <xf numFmtId="3" fontId="0" fillId="0" borderId="32" xfId="0" applyNumberFormat="1" applyBorder="1" applyAlignment="1">
      <alignment horizontal="center"/>
    </xf>
    <xf numFmtId="168" fontId="0" fillId="0" borderId="32" xfId="0" applyNumberFormat="1" applyBorder="1" applyAlignment="1">
      <alignment horizontal="center"/>
    </xf>
    <xf numFmtId="169" fontId="0" fillId="0" borderId="32" xfId="3" applyNumberFormat="1" applyFont="1" applyBorder="1" applyAlignment="1">
      <alignment horizontal="center"/>
    </xf>
    <xf numFmtId="3" fontId="0" fillId="0" borderId="32" xfId="3" applyNumberFormat="1" applyFont="1" applyBorder="1" applyAlignment="1">
      <alignment horizontal="center"/>
    </xf>
    <xf numFmtId="1" fontId="0" fillId="0" borderId="32" xfId="0" applyNumberFormat="1" applyBorder="1" applyAlignment="1">
      <alignment horizontal="center"/>
    </xf>
    <xf numFmtId="1" fontId="5" fillId="0" borderId="0" xfId="0" applyNumberFormat="1" applyFont="1" applyAlignment="1">
      <alignment horizontal="center"/>
    </xf>
    <xf numFmtId="0" fontId="5" fillId="0" borderId="32" xfId="0" applyFont="1" applyBorder="1" applyAlignment="1">
      <alignment horizontal="center"/>
    </xf>
    <xf numFmtId="164" fontId="0" fillId="0" borderId="32" xfId="7" applyNumberFormat="1" applyFont="1" applyBorder="1" applyAlignment="1">
      <alignment horizontal="center"/>
    </xf>
    <xf numFmtId="0" fontId="0" fillId="0" borderId="32" xfId="7" applyNumberFormat="1" applyFont="1" applyBorder="1" applyAlignment="1">
      <alignment horizontal="center"/>
    </xf>
    <xf numFmtId="164" fontId="4" fillId="0" borderId="0" xfId="7" applyNumberFormat="1" applyFont="1"/>
    <xf numFmtId="165" fontId="0" fillId="0" borderId="32" xfId="0" applyNumberFormat="1" applyBorder="1"/>
    <xf numFmtId="166" fontId="0" fillId="0" borderId="32" xfId="7" applyNumberFormat="1" applyFont="1" applyBorder="1"/>
    <xf numFmtId="3" fontId="18" fillId="0" borderId="32" xfId="0" applyNumberFormat="1" applyFont="1" applyBorder="1" applyAlignment="1">
      <alignment horizontal="center"/>
    </xf>
    <xf numFmtId="0" fontId="5" fillId="0" borderId="33" xfId="0" applyFont="1" applyBorder="1" applyAlignment="1">
      <alignment horizontal="center"/>
    </xf>
    <xf numFmtId="164" fontId="5" fillId="4" borderId="0" xfId="0" applyNumberFormat="1" applyFont="1" applyFill="1"/>
    <xf numFmtId="5" fontId="11" fillId="4" borderId="0" xfId="0" applyNumberFormat="1" applyFont="1" applyFill="1"/>
    <xf numFmtId="164" fontId="5" fillId="0" borderId="0" xfId="7" applyNumberFormat="1" applyFont="1" applyAlignment="1">
      <alignment horizontal="center"/>
    </xf>
    <xf numFmtId="164" fontId="11" fillId="4" borderId="0" xfId="7" applyNumberFormat="1" applyFont="1" applyFill="1"/>
    <xf numFmtId="164" fontId="5" fillId="0" borderId="0" xfId="7" applyNumberFormat="1" applyFont="1" applyBorder="1"/>
    <xf numFmtId="37" fontId="0" fillId="0" borderId="32" xfId="0" applyNumberFormat="1" applyBorder="1"/>
    <xf numFmtId="164" fontId="5" fillId="0" borderId="32" xfId="7" applyNumberFormat="1" applyFont="1" applyBorder="1" applyProtection="1"/>
    <xf numFmtId="164" fontId="0" fillId="0" borderId="32" xfId="7" applyNumberFormat="1" applyFont="1" applyBorder="1"/>
    <xf numFmtId="164" fontId="5" fillId="0" borderId="32" xfId="7" applyNumberFormat="1" applyFont="1" applyBorder="1"/>
    <xf numFmtId="164" fontId="5" fillId="0" borderId="32" xfId="7" applyNumberFormat="1" applyFont="1" applyFill="1" applyBorder="1"/>
    <xf numFmtId="164" fontId="11" fillId="4" borderId="0" xfId="0" applyNumberFormat="1" applyFont="1" applyFill="1"/>
    <xf numFmtId="165" fontId="4" fillId="0" borderId="32" xfId="4" applyNumberFormat="1" applyFont="1" applyFill="1" applyBorder="1" applyAlignment="1">
      <alignment horizontal="center"/>
    </xf>
    <xf numFmtId="164" fontId="15" fillId="0" borderId="32" xfId="7" applyNumberFormat="1" applyFont="1" applyBorder="1" applyAlignment="1">
      <alignment horizontal="center"/>
    </xf>
    <xf numFmtId="164" fontId="0" fillId="0" borderId="0" xfId="0" applyNumberFormat="1" applyAlignment="1">
      <alignment horizontal="center"/>
    </xf>
    <xf numFmtId="169" fontId="0" fillId="0" borderId="32" xfId="3" applyNumberFormat="1" applyFont="1" applyBorder="1" applyAlignment="1">
      <alignment horizontal="center" vertical="top"/>
    </xf>
    <xf numFmtId="43" fontId="0" fillId="0" borderId="0" xfId="3" applyFont="1" applyAlignment="1">
      <alignment horizontal="center" vertical="top"/>
    </xf>
    <xf numFmtId="0" fontId="0" fillId="0" borderId="0" xfId="0" applyAlignment="1">
      <alignment horizontal="center" vertical="top"/>
    </xf>
    <xf numFmtId="0" fontId="0" fillId="0" borderId="32" xfId="0" applyBorder="1" applyAlignment="1">
      <alignment horizontal="center" vertical="top"/>
    </xf>
    <xf numFmtId="1" fontId="0" fillId="0" borderId="32" xfId="0" applyNumberFormat="1" applyBorder="1" applyAlignment="1">
      <alignment horizontal="right"/>
    </xf>
    <xf numFmtId="166" fontId="15" fillId="0" borderId="32" xfId="0" applyNumberFormat="1" applyFont="1" applyBorder="1"/>
    <xf numFmtId="165" fontId="15" fillId="0" borderId="32" xfId="4" applyNumberFormat="1" applyFont="1" applyBorder="1" applyAlignment="1">
      <alignment horizontal="center"/>
    </xf>
    <xf numFmtId="0" fontId="15" fillId="0" borderId="32" xfId="0" applyFont="1" applyBorder="1" applyAlignment="1">
      <alignment horizontal="center"/>
    </xf>
    <xf numFmtId="164" fontId="10" fillId="0" borderId="0" xfId="7" applyNumberFormat="1" applyFont="1" applyFill="1"/>
    <xf numFmtId="164" fontId="29" fillId="0" borderId="0" xfId="0" applyNumberFormat="1" applyFont="1"/>
    <xf numFmtId="0" fontId="15" fillId="0" borderId="1" xfId="0" applyFont="1" applyBorder="1" applyAlignment="1">
      <alignment horizontal="right"/>
    </xf>
    <xf numFmtId="43" fontId="5" fillId="0" borderId="0" xfId="4" applyFont="1" applyFill="1"/>
    <xf numFmtId="0" fontId="5" fillId="0" borderId="8" xfId="0" applyFont="1" applyBorder="1"/>
    <xf numFmtId="164" fontId="5" fillId="0" borderId="8" xfId="0" applyNumberFormat="1" applyFont="1" applyBorder="1"/>
    <xf numFmtId="166" fontId="0" fillId="0" borderId="1" xfId="0" applyNumberFormat="1" applyBorder="1" applyAlignment="1">
      <alignment horizontal="center"/>
    </xf>
    <xf numFmtId="0" fontId="36" fillId="5" borderId="0" xfId="0" applyFont="1" applyFill="1"/>
    <xf numFmtId="164" fontId="28" fillId="5" borderId="0" xfId="0" applyNumberFormat="1" applyFont="1" applyFill="1"/>
    <xf numFmtId="0" fontId="11" fillId="0" borderId="13" xfId="0" applyFont="1" applyBorder="1"/>
    <xf numFmtId="0" fontId="16" fillId="0" borderId="32" xfId="0" applyFont="1" applyBorder="1" applyAlignment="1">
      <alignment horizontal="center"/>
    </xf>
    <xf numFmtId="1" fontId="15" fillId="0" borderId="0" xfId="7" applyNumberFormat="1" applyFont="1"/>
    <xf numFmtId="164" fontId="5" fillId="0" borderId="9" xfId="0" applyNumberFormat="1" applyFont="1" applyBorder="1"/>
    <xf numFmtId="164" fontId="5" fillId="0" borderId="8" xfId="7" applyNumberFormat="1" applyFont="1" applyBorder="1"/>
    <xf numFmtId="0" fontId="11" fillId="0" borderId="33" xfId="0" applyFont="1" applyBorder="1"/>
    <xf numFmtId="0" fontId="11" fillId="0" borderId="33" xfId="0" applyFont="1" applyBorder="1" applyAlignment="1">
      <alignment horizontal="center"/>
    </xf>
    <xf numFmtId="0" fontId="15" fillId="0" borderId="34" xfId="0" applyFont="1" applyBorder="1"/>
    <xf numFmtId="166" fontId="15" fillId="0" borderId="35" xfId="0" applyNumberFormat="1" applyFont="1" applyBorder="1" applyAlignment="1">
      <alignment horizontal="center"/>
    </xf>
    <xf numFmtId="166" fontId="15" fillId="0" borderId="36" xfId="0" applyNumberFormat="1" applyFont="1" applyBorder="1" applyAlignment="1">
      <alignment horizontal="center"/>
    </xf>
    <xf numFmtId="0" fontId="15" fillId="0" borderId="37" xfId="0" applyFont="1" applyBorder="1"/>
    <xf numFmtId="166" fontId="15" fillId="0" borderId="38" xfId="0" applyNumberFormat="1" applyFont="1" applyBorder="1" applyAlignment="1">
      <alignment horizontal="center"/>
    </xf>
    <xf numFmtId="0" fontId="15" fillId="0" borderId="39" xfId="0" applyFont="1" applyBorder="1"/>
    <xf numFmtId="166" fontId="15" fillId="0" borderId="40" xfId="0" applyNumberFormat="1" applyFont="1" applyBorder="1" applyAlignment="1">
      <alignment horizontal="center"/>
    </xf>
    <xf numFmtId="166" fontId="15" fillId="0" borderId="41" xfId="0" applyNumberFormat="1" applyFont="1" applyBorder="1" applyAlignment="1">
      <alignment horizontal="center"/>
    </xf>
    <xf numFmtId="166" fontId="11" fillId="0" borderId="0" xfId="0" applyNumberFormat="1" applyFont="1" applyAlignment="1">
      <alignment horizontal="center"/>
    </xf>
    <xf numFmtId="1" fontId="11" fillId="0" borderId="0" xfId="0" applyNumberFormat="1" applyFont="1" applyAlignment="1">
      <alignment horizontal="center"/>
    </xf>
    <xf numFmtId="164" fontId="11" fillId="0" borderId="0" xfId="7" applyNumberFormat="1" applyFont="1" applyBorder="1" applyAlignment="1">
      <alignment horizontal="center"/>
    </xf>
    <xf numFmtId="164" fontId="15" fillId="0" borderId="0" xfId="7" applyNumberFormat="1" applyFont="1" applyBorder="1" applyAlignment="1">
      <alignment horizontal="center"/>
    </xf>
    <xf numFmtId="0" fontId="11" fillId="0" borderId="32" xfId="0" applyFont="1" applyBorder="1"/>
    <xf numFmtId="0" fontId="11" fillId="0" borderId="32" xfId="0" applyFont="1" applyBorder="1" applyAlignment="1">
      <alignment horizontal="center"/>
    </xf>
    <xf numFmtId="0" fontId="15" fillId="0" borderId="32" xfId="0" applyFont="1" applyBorder="1"/>
    <xf numFmtId="1" fontId="15" fillId="0" borderId="32" xfId="0" applyNumberFormat="1" applyFont="1" applyBorder="1" applyAlignment="1">
      <alignment horizontal="center"/>
    </xf>
    <xf numFmtId="2" fontId="15" fillId="0" borderId="32" xfId="0" applyNumberFormat="1" applyFont="1" applyBorder="1" applyAlignment="1">
      <alignment horizontal="center"/>
    </xf>
    <xf numFmtId="1" fontId="15" fillId="0" borderId="32" xfId="0" applyNumberFormat="1" applyFont="1" applyBorder="1"/>
    <xf numFmtId="164" fontId="5" fillId="3" borderId="0" xfId="0" applyNumberFormat="1" applyFont="1" applyFill="1"/>
    <xf numFmtId="165" fontId="0" fillId="0" borderId="32" xfId="3" applyNumberFormat="1" applyFont="1" applyBorder="1"/>
    <xf numFmtId="5" fontId="0" fillId="0" borderId="32" xfId="0" applyNumberFormat="1" applyBorder="1"/>
    <xf numFmtId="170" fontId="0" fillId="0" borderId="0" xfId="0" applyNumberFormat="1"/>
    <xf numFmtId="174" fontId="0" fillId="0" borderId="0" xfId="0" applyNumberFormat="1"/>
    <xf numFmtId="1" fontId="0" fillId="0" borderId="1" xfId="0" applyNumberFormat="1" applyBorder="1"/>
    <xf numFmtId="2" fontId="0" fillId="0" borderId="1" xfId="0" applyNumberFormat="1" applyBorder="1"/>
    <xf numFmtId="0" fontId="0" fillId="0" borderId="0" xfId="0" applyAlignment="1">
      <alignment horizontal="right" wrapText="1"/>
    </xf>
    <xf numFmtId="1" fontId="15" fillId="0" borderId="0" xfId="0" applyNumberFormat="1" applyFont="1" applyAlignment="1">
      <alignment horizontal="left"/>
    </xf>
    <xf numFmtId="0" fontId="0" fillId="0" borderId="1" xfId="0" applyBorder="1" applyAlignment="1">
      <alignment horizontal="right"/>
    </xf>
    <xf numFmtId="0" fontId="5" fillId="4" borderId="0" xfId="0" applyFont="1" applyFill="1"/>
    <xf numFmtId="169" fontId="0" fillId="0" borderId="0" xfId="4" applyNumberFormat="1" applyFont="1" applyBorder="1" applyAlignment="1">
      <alignment horizontal="center"/>
    </xf>
    <xf numFmtId="164" fontId="5" fillId="4" borderId="0" xfId="7" applyNumberFormat="1" applyFont="1" applyFill="1"/>
    <xf numFmtId="166" fontId="0" fillId="0" borderId="1" xfId="7" applyNumberFormat="1" applyFont="1" applyBorder="1"/>
    <xf numFmtId="165" fontId="5" fillId="0" borderId="16" xfId="4" applyNumberFormat="1" applyFont="1" applyBorder="1"/>
    <xf numFmtId="164" fontId="5" fillId="0" borderId="0" xfId="7" applyNumberFormat="1" applyFont="1" applyProtection="1"/>
    <xf numFmtId="164" fontId="5" fillId="0" borderId="0" xfId="7" applyNumberFormat="1" applyFont="1"/>
    <xf numFmtId="164" fontId="5" fillId="0" borderId="0" xfId="7" applyNumberFormat="1" applyFont="1" applyFill="1"/>
    <xf numFmtId="164" fontId="0" fillId="0" borderId="0" xfId="0" applyNumberFormat="1" applyAlignment="1">
      <alignment wrapText="1"/>
    </xf>
    <xf numFmtId="1" fontId="5" fillId="3" borderId="0" xfId="0" applyNumberFormat="1" applyFont="1" applyFill="1"/>
    <xf numFmtId="0" fontId="30" fillId="4" borderId="0" xfId="0" applyFont="1" applyFill="1" applyAlignment="1">
      <alignment horizontal="center"/>
    </xf>
    <xf numFmtId="170" fontId="31" fillId="4" borderId="0" xfId="0" applyNumberFormat="1" applyFont="1" applyFill="1"/>
    <xf numFmtId="0" fontId="15" fillId="4" borderId="13" xfId="0" applyFont="1" applyFill="1" applyBorder="1"/>
    <xf numFmtId="172" fontId="15" fillId="4" borderId="0" xfId="0" applyNumberFormat="1" applyFont="1" applyFill="1"/>
    <xf numFmtId="0" fontId="15" fillId="4" borderId="0" xfId="0" applyFont="1" applyFill="1" applyAlignment="1">
      <alignment horizontal="center"/>
    </xf>
    <xf numFmtId="170" fontId="15" fillId="4" borderId="0" xfId="0" applyNumberFormat="1" applyFont="1" applyFill="1" applyAlignment="1">
      <alignment horizontal="left"/>
    </xf>
    <xf numFmtId="170" fontId="31" fillId="4" borderId="0" xfId="0" applyNumberFormat="1" applyFont="1" applyFill="1" applyAlignment="1">
      <alignment horizontal="center"/>
    </xf>
    <xf numFmtId="170" fontId="0" fillId="4" borderId="0" xfId="0" applyNumberFormat="1" applyFill="1"/>
    <xf numFmtId="0" fontId="0" fillId="4" borderId="13" xfId="0" applyFill="1" applyBorder="1"/>
    <xf numFmtId="0" fontId="62" fillId="4" borderId="0" xfId="0" applyFont="1" applyFill="1"/>
    <xf numFmtId="170" fontId="5" fillId="4" borderId="0" xfId="0" applyNumberFormat="1" applyFont="1" applyFill="1"/>
    <xf numFmtId="170" fontId="11" fillId="4" borderId="0" xfId="0" applyNumberFormat="1" applyFont="1" applyFill="1"/>
    <xf numFmtId="0" fontId="62" fillId="0" borderId="0" xfId="0" applyFont="1"/>
    <xf numFmtId="0" fontId="61" fillId="4" borderId="0" xfId="0" applyFont="1" applyFill="1"/>
    <xf numFmtId="0" fontId="61" fillId="0" borderId="0" xfId="0" applyFont="1"/>
    <xf numFmtId="164" fontId="28" fillId="3" borderId="0" xfId="7" applyNumberFormat="1" applyFont="1" applyFill="1"/>
    <xf numFmtId="164" fontId="36" fillId="3" borderId="0" xfId="0" applyNumberFormat="1" applyFont="1" applyFill="1"/>
    <xf numFmtId="0" fontId="15" fillId="0" borderId="0" xfId="0" applyFont="1" applyAlignment="1">
      <alignment wrapText="1"/>
    </xf>
    <xf numFmtId="44" fontId="0" fillId="0" borderId="32" xfId="7" applyFont="1" applyBorder="1"/>
    <xf numFmtId="164" fontId="0" fillId="0" borderId="32" xfId="2" applyNumberFormat="1" applyFont="1" applyBorder="1"/>
    <xf numFmtId="164" fontId="0" fillId="0" borderId="32" xfId="0" applyNumberFormat="1" applyBorder="1"/>
    <xf numFmtId="164" fontId="15" fillId="0" borderId="32" xfId="2" applyNumberFormat="1" applyFont="1" applyBorder="1"/>
    <xf numFmtId="165" fontId="0" fillId="0" borderId="32" xfId="3" applyNumberFormat="1" applyFont="1" applyBorder="1" applyProtection="1"/>
    <xf numFmtId="165" fontId="15" fillId="0" borderId="32" xfId="3" applyNumberFormat="1" applyFont="1" applyBorder="1"/>
    <xf numFmtId="165" fontId="4" fillId="0" borderId="32" xfId="3" applyNumberFormat="1" applyFont="1" applyBorder="1" applyProtection="1"/>
    <xf numFmtId="165" fontId="4" fillId="0" borderId="32" xfId="3" applyNumberFormat="1" applyFont="1" applyBorder="1"/>
    <xf numFmtId="0" fontId="36" fillId="3" borderId="0" xfId="0" applyFont="1" applyFill="1"/>
    <xf numFmtId="0" fontId="15" fillId="0" borderId="32" xfId="0" applyFont="1" applyBorder="1" applyAlignment="1">
      <alignment horizontal="left"/>
    </xf>
    <xf numFmtId="0" fontId="11" fillId="0" borderId="0" xfId="0" applyFont="1" applyAlignment="1">
      <alignment horizontal="left"/>
    </xf>
    <xf numFmtId="164" fontId="5" fillId="0" borderId="6" xfId="0" applyNumberFormat="1" applyFont="1" applyBorder="1"/>
    <xf numFmtId="166" fontId="0" fillId="0" borderId="0" xfId="2" applyNumberFormat="1" applyFont="1"/>
    <xf numFmtId="0" fontId="15" fillId="0" borderId="32" xfId="0" applyFont="1" applyBorder="1" applyAlignment="1">
      <alignment horizontal="center" wrapText="1"/>
    </xf>
    <xf numFmtId="165" fontId="0" fillId="0" borderId="32" xfId="3" applyNumberFormat="1" applyFont="1" applyBorder="1" applyAlignment="1">
      <alignment horizontal="center"/>
    </xf>
    <xf numFmtId="1" fontId="5" fillId="0" borderId="0" xfId="0" applyNumberFormat="1" applyFont="1"/>
    <xf numFmtId="0" fontId="63" fillId="0" borderId="32" xfId="0" applyFont="1" applyBorder="1" applyAlignment="1">
      <alignment horizontal="center"/>
    </xf>
    <xf numFmtId="166" fontId="11" fillId="0" borderId="0" xfId="0" applyNumberFormat="1" applyFont="1"/>
    <xf numFmtId="0" fontId="36" fillId="0" borderId="0" xfId="0" applyFont="1"/>
    <xf numFmtId="0" fontId="15" fillId="0" borderId="0" xfId="0" quotePrefix="1" applyFont="1" applyAlignment="1">
      <alignment horizontal="center"/>
    </xf>
    <xf numFmtId="164" fontId="11" fillId="0" borderId="0" xfId="7" applyNumberFormat="1" applyFont="1" applyBorder="1"/>
    <xf numFmtId="0" fontId="11" fillId="0" borderId="0" xfId="0" applyFont="1" applyAlignment="1">
      <alignment horizontal="center"/>
    </xf>
    <xf numFmtId="175" fontId="0" fillId="0" borderId="32" xfId="0" applyNumberFormat="1" applyBorder="1" applyAlignment="1">
      <alignment horizontal="center"/>
    </xf>
    <xf numFmtId="165" fontId="0" fillId="0" borderId="32" xfId="3" applyNumberFormat="1" applyFont="1" applyBorder="1" applyAlignment="1">
      <alignment horizontal="center" vertical="center"/>
    </xf>
    <xf numFmtId="0" fontId="0" fillId="0" borderId="33" xfId="0" applyBorder="1" applyAlignment="1">
      <alignment horizontal="center"/>
    </xf>
    <xf numFmtId="166" fontId="13" fillId="0" borderId="32" xfId="0" applyNumberFormat="1" applyFont="1" applyBorder="1"/>
    <xf numFmtId="166" fontId="13" fillId="0" borderId="32" xfId="0" applyNumberFormat="1" applyFont="1" applyBorder="1" applyAlignment="1">
      <alignment horizontal="center"/>
    </xf>
    <xf numFmtId="1" fontId="13" fillId="0" borderId="32" xfId="0" applyNumberFormat="1" applyFont="1" applyBorder="1" applyAlignment="1">
      <alignment horizontal="center"/>
    </xf>
    <xf numFmtId="166" fontId="0" fillId="0" borderId="32" xfId="7" applyNumberFormat="1" applyFont="1" applyBorder="1" applyAlignment="1">
      <alignment horizontal="center"/>
    </xf>
    <xf numFmtId="1" fontId="5" fillId="0" borderId="32" xfId="0" applyNumberFormat="1" applyFont="1" applyBorder="1"/>
    <xf numFmtId="165" fontId="5" fillId="0" borderId="32" xfId="3" applyNumberFormat="1" applyFont="1" applyBorder="1" applyAlignment="1">
      <alignment horizontal="center"/>
    </xf>
    <xf numFmtId="0" fontId="60" fillId="0" borderId="0" xfId="0" applyFont="1"/>
    <xf numFmtId="165" fontId="0" fillId="0" borderId="32" xfId="0" applyNumberFormat="1" applyBorder="1" applyAlignment="1">
      <alignment horizontal="center"/>
    </xf>
    <xf numFmtId="165" fontId="0" fillId="0" borderId="32" xfId="4" applyNumberFormat="1" applyFont="1" applyFill="1" applyBorder="1" applyAlignment="1">
      <alignment horizontal="center"/>
    </xf>
    <xf numFmtId="164" fontId="5" fillId="0" borderId="0" xfId="7" applyNumberFormat="1" applyFont="1" applyFill="1" applyBorder="1"/>
    <xf numFmtId="164" fontId="0" fillId="0" borderId="32" xfId="7" applyNumberFormat="1" applyFont="1" applyFill="1" applyBorder="1" applyProtection="1"/>
    <xf numFmtId="165" fontId="0" fillId="0" borderId="32" xfId="4" applyNumberFormat="1" applyFont="1" applyFill="1" applyBorder="1"/>
    <xf numFmtId="164" fontId="0" fillId="0" borderId="32" xfId="7" applyNumberFormat="1" applyFont="1" applyFill="1" applyBorder="1"/>
    <xf numFmtId="169" fontId="0" fillId="0" borderId="32" xfId="0" applyNumberFormat="1" applyBorder="1"/>
    <xf numFmtId="165" fontId="0" fillId="0" borderId="32" xfId="3" applyNumberFormat="1" applyFont="1" applyFill="1" applyBorder="1"/>
    <xf numFmtId="164" fontId="0" fillId="0" borderId="0" xfId="2" applyNumberFormat="1" applyFont="1" applyFill="1"/>
    <xf numFmtId="0" fontId="11" fillId="0" borderId="5" xfId="0" applyFont="1" applyBorder="1"/>
    <xf numFmtId="164" fontId="48" fillId="0" borderId="0" xfId="0" applyNumberFormat="1" applyFont="1"/>
    <xf numFmtId="166" fontId="0" fillId="0" borderId="32" xfId="7" applyNumberFormat="1" applyFont="1" applyFill="1" applyBorder="1"/>
    <xf numFmtId="0" fontId="11" fillId="0" borderId="0" xfId="0" applyFont="1" applyAlignment="1">
      <alignment horizontal="right"/>
    </xf>
    <xf numFmtId="0" fontId="15" fillId="0" borderId="42" xfId="0" applyFont="1" applyBorder="1"/>
    <xf numFmtId="0" fontId="11" fillId="0" borderId="1" xfId="0" applyFont="1" applyBorder="1"/>
    <xf numFmtId="165" fontId="0" fillId="0" borderId="32" xfId="3" applyNumberFormat="1" applyFont="1" applyBorder="1" applyAlignment="1">
      <alignment horizontal="left"/>
    </xf>
    <xf numFmtId="9" fontId="0" fillId="0" borderId="32" xfId="0" applyNumberFormat="1" applyBorder="1" applyAlignment="1">
      <alignment horizontal="right"/>
    </xf>
    <xf numFmtId="3" fontId="0" fillId="0" borderId="32" xfId="0" applyNumberFormat="1" applyBorder="1" applyAlignment="1">
      <alignment horizontal="right"/>
    </xf>
    <xf numFmtId="165" fontId="0" fillId="0" borderId="32" xfId="3" applyNumberFormat="1" applyFont="1" applyBorder="1" applyAlignment="1">
      <alignment horizontal="right"/>
    </xf>
    <xf numFmtId="165" fontId="0" fillId="0" borderId="32" xfId="3" applyNumberFormat="1" applyFont="1" applyFill="1" applyBorder="1" applyAlignment="1">
      <alignment horizontal="right"/>
    </xf>
    <xf numFmtId="1" fontId="0" fillId="0" borderId="32" xfId="2" applyNumberFormat="1" applyFont="1" applyBorder="1" applyAlignment="1">
      <alignment horizontal="right"/>
    </xf>
    <xf numFmtId="0" fontId="0" fillId="0" borderId="32" xfId="2" applyNumberFormat="1" applyFont="1" applyBorder="1"/>
    <xf numFmtId="164" fontId="5" fillId="0" borderId="0" xfId="2" applyNumberFormat="1" applyFont="1" applyBorder="1" applyAlignment="1">
      <alignment horizontal="right"/>
    </xf>
    <xf numFmtId="164" fontId="5" fillId="0" borderId="0" xfId="2" applyNumberFormat="1" applyFont="1"/>
    <xf numFmtId="2" fontId="0" fillId="0" borderId="32" xfId="2" applyNumberFormat="1" applyFont="1" applyBorder="1"/>
    <xf numFmtId="164" fontId="5" fillId="4" borderId="0" xfId="0" applyNumberFormat="1" applyFont="1" applyFill="1" applyAlignment="1">
      <alignment horizontal="center"/>
    </xf>
    <xf numFmtId="165" fontId="0" fillId="0" borderId="32" xfId="4" applyNumberFormat="1" applyFont="1" applyBorder="1" applyAlignment="1">
      <alignment horizontal="right"/>
    </xf>
    <xf numFmtId="165" fontId="5" fillId="0" borderId="32" xfId="3" applyNumberFormat="1" applyFont="1" applyBorder="1"/>
    <xf numFmtId="0" fontId="28" fillId="5" borderId="0" xfId="0" applyFont="1" applyFill="1"/>
    <xf numFmtId="0" fontId="5" fillId="0" borderId="0" xfId="0" applyFont="1" applyAlignment="1">
      <alignment horizontal="center" vertical="top" wrapText="1"/>
    </xf>
    <xf numFmtId="164" fontId="15" fillId="0" borderId="0" xfId="7" applyNumberFormat="1" applyFont="1" applyAlignment="1">
      <alignment horizontal="center"/>
    </xf>
    <xf numFmtId="0" fontId="0" fillId="0" borderId="5" xfId="0" applyBorder="1" applyAlignment="1">
      <alignment horizontal="right"/>
    </xf>
    <xf numFmtId="0" fontId="15" fillId="0" borderId="1" xfId="0" applyFont="1" applyBorder="1"/>
    <xf numFmtId="164" fontId="0" fillId="0" borderId="1" xfId="0" applyNumberFormat="1" applyBorder="1" applyAlignment="1">
      <alignment horizontal="center"/>
    </xf>
    <xf numFmtId="0" fontId="50" fillId="0" borderId="3" xfId="0" applyFont="1" applyBorder="1"/>
    <xf numFmtId="2" fontId="51" fillId="0" borderId="5" xfId="0" applyNumberFormat="1" applyFont="1" applyBorder="1" applyAlignment="1">
      <alignment horizontal="center"/>
    </xf>
    <xf numFmtId="2" fontId="15" fillId="0" borderId="0" xfId="0" applyNumberFormat="1" applyFont="1" applyAlignment="1">
      <alignment horizontal="center" wrapText="1"/>
    </xf>
    <xf numFmtId="164" fontId="48" fillId="0" borderId="8" xfId="0" applyNumberFormat="1" applyFont="1" applyBorder="1"/>
    <xf numFmtId="165" fontId="0" fillId="0" borderId="1" xfId="4" applyNumberFormat="1" applyFont="1" applyBorder="1" applyAlignment="1">
      <alignment horizontal="right"/>
    </xf>
    <xf numFmtId="5" fontId="0" fillId="0" borderId="1" xfId="0" applyNumberFormat="1" applyBorder="1"/>
    <xf numFmtId="164" fontId="11" fillId="0" borderId="0" xfId="7" applyNumberFormat="1" applyFont="1" applyFill="1"/>
    <xf numFmtId="166" fontId="15" fillId="0" borderId="1" xfId="0" applyNumberFormat="1" applyFont="1" applyBorder="1" applyAlignment="1">
      <alignment horizontal="center"/>
    </xf>
    <xf numFmtId="165" fontId="5" fillId="0" borderId="0" xfId="3" applyNumberFormat="1" applyFont="1"/>
    <xf numFmtId="0" fontId="0" fillId="0" borderId="42" xfId="0" applyBorder="1" applyAlignment="1">
      <alignment horizontal="center"/>
    </xf>
    <xf numFmtId="165" fontId="5" fillId="0" borderId="0" xfId="3" applyNumberFormat="1" applyFont="1" applyAlignment="1">
      <alignment horizontal="center"/>
    </xf>
    <xf numFmtId="169" fontId="0" fillId="0" borderId="1" xfId="0" applyNumberFormat="1" applyBorder="1"/>
    <xf numFmtId="1" fontId="0" fillId="0" borderId="1" xfId="7" applyNumberFormat="1" applyFont="1" applyBorder="1"/>
    <xf numFmtId="164" fontId="15" fillId="0" borderId="1" xfId="0" applyNumberFormat="1" applyFont="1" applyBorder="1" applyAlignment="1">
      <alignment horizontal="center"/>
    </xf>
    <xf numFmtId="165" fontId="4" fillId="0" borderId="0" xfId="4" applyNumberFormat="1" applyFont="1"/>
    <xf numFmtId="0" fontId="11" fillId="3" borderId="0" xfId="0" applyFont="1" applyFill="1"/>
    <xf numFmtId="0" fontId="11" fillId="11" borderId="10" xfId="0" applyFont="1" applyFill="1" applyBorder="1"/>
    <xf numFmtId="0" fontId="15" fillId="11" borderId="11" xfId="0" applyFont="1" applyFill="1" applyBorder="1"/>
    <xf numFmtId="0" fontId="15" fillId="11" borderId="12" xfId="0" applyFont="1" applyFill="1" applyBorder="1"/>
    <xf numFmtId="0" fontId="11" fillId="11" borderId="13" xfId="0" applyFont="1" applyFill="1" applyBorder="1"/>
    <xf numFmtId="0" fontId="15" fillId="11" borderId="0" xfId="0" applyFont="1" applyFill="1"/>
    <xf numFmtId="0" fontId="15" fillId="11" borderId="14" xfId="0" applyFont="1" applyFill="1" applyBorder="1"/>
    <xf numFmtId="49" fontId="11" fillId="11" borderId="13" xfId="0" applyNumberFormat="1" applyFont="1" applyFill="1" applyBorder="1"/>
    <xf numFmtId="0" fontId="15" fillId="11" borderId="13" xfId="0" applyFont="1" applyFill="1" applyBorder="1"/>
    <xf numFmtId="0" fontId="58" fillId="11" borderId="0" xfId="0" applyFont="1" applyFill="1"/>
    <xf numFmtId="164" fontId="15" fillId="11" borderId="1" xfId="7" applyNumberFormat="1" applyFont="1" applyFill="1" applyBorder="1" applyAlignment="1">
      <alignment horizontal="left"/>
    </xf>
    <xf numFmtId="164" fontId="17" fillId="11" borderId="0" xfId="7" applyNumberFormat="1" applyFont="1" applyFill="1" applyBorder="1" applyAlignment="1">
      <alignment horizontal="center"/>
    </xf>
    <xf numFmtId="164" fontId="15" fillId="11" borderId="1" xfId="7" applyNumberFormat="1" applyFont="1" applyFill="1" applyBorder="1" applyAlignment="1">
      <alignment horizontal="center"/>
    </xf>
    <xf numFmtId="164" fontId="15" fillId="11" borderId="0" xfId="7" applyNumberFormat="1" applyFont="1" applyFill="1" applyBorder="1"/>
    <xf numFmtId="0" fontId="48" fillId="11" borderId="13" xfId="0" applyFont="1" applyFill="1" applyBorder="1"/>
    <xf numFmtId="0" fontId="48" fillId="11" borderId="0" xfId="0" applyFont="1" applyFill="1"/>
    <xf numFmtId="164" fontId="48" fillId="11" borderId="0" xfId="7" applyNumberFormat="1" applyFont="1" applyFill="1" applyBorder="1"/>
    <xf numFmtId="0" fontId="48" fillId="11" borderId="14" xfId="0" applyFont="1" applyFill="1" applyBorder="1"/>
    <xf numFmtId="0" fontId="0" fillId="11" borderId="0" xfId="0" applyFill="1"/>
    <xf numFmtId="164" fontId="15" fillId="11" borderId="0" xfId="7" applyNumberFormat="1" applyFont="1" applyFill="1" applyBorder="1" applyAlignment="1">
      <alignment horizontal="center"/>
    </xf>
    <xf numFmtId="0" fontId="11" fillId="11" borderId="0" xfId="0" applyFont="1" applyFill="1"/>
    <xf numFmtId="164" fontId="15" fillId="11" borderId="1" xfId="7" applyNumberFormat="1" applyFont="1" applyFill="1" applyBorder="1"/>
    <xf numFmtId="164" fontId="15" fillId="11" borderId="0" xfId="2" applyNumberFormat="1" applyFont="1" applyFill="1" applyBorder="1" applyAlignment="1"/>
    <xf numFmtId="9" fontId="15" fillId="11" borderId="0" xfId="0" applyNumberFormat="1" applyFont="1" applyFill="1" applyAlignment="1">
      <alignment horizontal="center"/>
    </xf>
    <xf numFmtId="164" fontId="15" fillId="11" borderId="0" xfId="7" applyNumberFormat="1" applyFont="1" applyFill="1" applyBorder="1" applyAlignment="1"/>
    <xf numFmtId="164" fontId="15" fillId="11" borderId="0" xfId="2" applyNumberFormat="1" applyFont="1" applyFill="1" applyBorder="1" applyAlignment="1">
      <alignment horizontal="center"/>
    </xf>
    <xf numFmtId="164" fontId="15" fillId="11" borderId="1" xfId="7" applyNumberFormat="1" applyFont="1" applyFill="1" applyBorder="1" applyAlignment="1"/>
    <xf numFmtId="164" fontId="17" fillId="11" borderId="0" xfId="2" applyNumberFormat="1" applyFont="1" applyFill="1" applyBorder="1" applyAlignment="1">
      <alignment horizontal="center"/>
    </xf>
    <xf numFmtId="0" fontId="15" fillId="11" borderId="1" xfId="0" applyFont="1" applyFill="1" applyBorder="1"/>
    <xf numFmtId="0" fontId="15" fillId="11" borderId="1" xfId="0" applyFont="1" applyFill="1" applyBorder="1" applyAlignment="1">
      <alignment horizontal="center"/>
    </xf>
    <xf numFmtId="164" fontId="15" fillId="11" borderId="0" xfId="0" applyNumberFormat="1" applyFont="1" applyFill="1"/>
    <xf numFmtId="0" fontId="59" fillId="11" borderId="0" xfId="0" applyFont="1" applyFill="1"/>
    <xf numFmtId="164" fontId="59" fillId="11" borderId="1" xfId="7" applyNumberFormat="1" applyFont="1" applyFill="1" applyBorder="1"/>
    <xf numFmtId="164" fontId="11" fillId="11" borderId="0" xfId="0" applyNumberFormat="1" applyFont="1" applyFill="1"/>
    <xf numFmtId="0" fontId="15" fillId="11" borderId="15" xfId="0" applyFont="1" applyFill="1" applyBorder="1"/>
    <xf numFmtId="0" fontId="15" fillId="11" borderId="16" xfId="0" applyFont="1" applyFill="1" applyBorder="1"/>
    <xf numFmtId="164" fontId="11" fillId="0" borderId="32" xfId="7" applyNumberFormat="1" applyFont="1" applyFill="1" applyBorder="1" applyAlignment="1">
      <alignment horizontal="center"/>
    </xf>
    <xf numFmtId="164" fontId="0" fillId="0" borderId="32" xfId="2" applyNumberFormat="1" applyFont="1" applyFill="1" applyBorder="1"/>
    <xf numFmtId="165" fontId="4" fillId="0" borderId="32" xfId="3" applyNumberFormat="1" applyFont="1" applyFill="1" applyBorder="1" applyProtection="1"/>
    <xf numFmtId="165" fontId="0" fillId="0" borderId="0" xfId="3" applyNumberFormat="1" applyFont="1" applyFill="1"/>
    <xf numFmtId="165" fontId="0" fillId="0" borderId="32" xfId="3" applyNumberFormat="1" applyFont="1" applyFill="1" applyBorder="1" applyProtection="1"/>
    <xf numFmtId="165" fontId="4" fillId="0" borderId="32" xfId="3" applyNumberFormat="1" applyFont="1" applyFill="1" applyBorder="1"/>
    <xf numFmtId="0" fontId="48" fillId="0" borderId="0" xfId="0" applyFont="1" applyAlignment="1">
      <alignment horizontal="right"/>
    </xf>
    <xf numFmtId="0" fontId="52" fillId="0" borderId="0" xfId="0" applyFont="1"/>
    <xf numFmtId="0" fontId="15" fillId="0" borderId="1" xfId="0" applyFont="1" applyBorder="1" applyAlignment="1">
      <alignment horizontal="center"/>
    </xf>
    <xf numFmtId="164" fontId="0" fillId="0" borderId="0" xfId="7" applyNumberFormat="1" applyFont="1" applyBorder="1" applyAlignment="1">
      <alignment horizontal="center"/>
    </xf>
    <xf numFmtId="164" fontId="11" fillId="11" borderId="0" xfId="7" applyNumberFormat="1" applyFont="1" applyFill="1" applyBorder="1"/>
    <xf numFmtId="0" fontId="12" fillId="0" borderId="0" xfId="0" applyFont="1" applyAlignment="1">
      <alignment horizontal="center"/>
    </xf>
    <xf numFmtId="0" fontId="63" fillId="0" borderId="0" xfId="0" applyFont="1" applyAlignment="1">
      <alignment horizontal="left"/>
    </xf>
    <xf numFmtId="165" fontId="15" fillId="0" borderId="32" xfId="4" applyNumberFormat="1" applyFont="1" applyFill="1" applyBorder="1"/>
    <xf numFmtId="165" fontId="15" fillId="0" borderId="32" xfId="4" applyNumberFormat="1" applyFont="1" applyFill="1" applyBorder="1" applyAlignment="1">
      <alignment horizontal="center"/>
    </xf>
    <xf numFmtId="165" fontId="15" fillId="0" borderId="32" xfId="3" applyNumberFormat="1" applyFont="1" applyFill="1" applyBorder="1"/>
    <xf numFmtId="0" fontId="15" fillId="0" borderId="32" xfId="0" applyFont="1" applyBorder="1" applyAlignment="1">
      <alignment horizontal="right"/>
    </xf>
    <xf numFmtId="9" fontId="15" fillId="0" borderId="32" xfId="0" applyNumberFormat="1" applyFont="1" applyBorder="1" applyAlignment="1">
      <alignment horizontal="right"/>
    </xf>
    <xf numFmtId="3" fontId="15" fillId="0" borderId="32" xfId="0" applyNumberFormat="1" applyFont="1" applyBorder="1" applyAlignment="1">
      <alignment horizontal="right"/>
    </xf>
    <xf numFmtId="165" fontId="15" fillId="0" borderId="32" xfId="3" applyNumberFormat="1" applyFont="1" applyFill="1" applyBorder="1" applyAlignment="1">
      <alignment horizontal="right"/>
    </xf>
    <xf numFmtId="43" fontId="15" fillId="0" borderId="32" xfId="3" applyFont="1" applyFill="1" applyBorder="1" applyAlignment="1">
      <alignment horizontal="right"/>
    </xf>
    <xf numFmtId="164" fontId="15" fillId="0" borderId="0" xfId="2" applyNumberFormat="1" applyFont="1" applyFill="1" applyBorder="1" applyAlignment="1">
      <alignment horizontal="right"/>
    </xf>
    <xf numFmtId="2" fontId="12" fillId="0" borderId="0" xfId="0" applyNumberFormat="1" applyFont="1"/>
    <xf numFmtId="165" fontId="0" fillId="0" borderId="1" xfId="3" applyNumberFormat="1" applyFont="1" applyFill="1" applyBorder="1"/>
    <xf numFmtId="164" fontId="15" fillId="0" borderId="0" xfId="7" applyNumberFormat="1" applyFont="1" applyFill="1" applyBorder="1" applyAlignment="1">
      <alignment horizontal="center"/>
    </xf>
    <xf numFmtId="0" fontId="0" fillId="10" borderId="0" xfId="0" applyFill="1" applyAlignment="1">
      <alignment horizontal="center"/>
    </xf>
    <xf numFmtId="1" fontId="0" fillId="10" borderId="0" xfId="0" applyNumberFormat="1" applyFill="1" applyAlignment="1">
      <alignment horizontal="center"/>
    </xf>
    <xf numFmtId="0" fontId="0" fillId="8" borderId="0" xfId="0" applyFill="1" applyAlignment="1">
      <alignment horizontal="center"/>
    </xf>
    <xf numFmtId="1" fontId="0" fillId="8" borderId="0" xfId="0" applyNumberFormat="1" applyFill="1" applyAlignment="1">
      <alignment horizontal="center"/>
    </xf>
    <xf numFmtId="0" fontId="0" fillId="9" borderId="0" xfId="0" applyFill="1" applyAlignment="1">
      <alignment horizontal="center"/>
    </xf>
    <xf numFmtId="0" fontId="12" fillId="11" borderId="0" xfId="0" applyFont="1" applyFill="1"/>
    <xf numFmtId="0" fontId="20" fillId="0" borderId="20" xfId="0" applyFont="1" applyBorder="1" applyAlignment="1">
      <alignment horizontal="left" vertical="top" wrapText="1" indent="4"/>
    </xf>
    <xf numFmtId="0" fontId="20" fillId="0" borderId="21" xfId="0" applyFont="1" applyBorder="1" applyAlignment="1">
      <alignment horizontal="left" vertical="top" wrapText="1" indent="4"/>
    </xf>
    <xf numFmtId="0" fontId="20" fillId="0" borderId="22" xfId="0" applyFont="1" applyBorder="1" applyAlignment="1">
      <alignment horizontal="left" vertical="top" wrapText="1" indent="4"/>
    </xf>
    <xf numFmtId="0" fontId="21" fillId="0" borderId="23" xfId="0" applyFont="1" applyBorder="1" applyAlignment="1">
      <alignment horizontal="center" wrapText="1"/>
    </xf>
    <xf numFmtId="0" fontId="21" fillId="0" borderId="25" xfId="0" applyFont="1" applyBorder="1" applyAlignment="1">
      <alignment horizontal="center" wrapText="1"/>
    </xf>
    <xf numFmtId="0" fontId="21" fillId="0" borderId="18" xfId="0" applyFont="1" applyBorder="1" applyAlignment="1">
      <alignment horizontal="center" vertical="top" wrapText="1"/>
    </xf>
    <xf numFmtId="0" fontId="21" fillId="0" borderId="19" xfId="0" applyFont="1" applyBorder="1" applyAlignment="1">
      <alignment horizontal="center" vertical="top" wrapText="1"/>
    </xf>
    <xf numFmtId="0" fontId="21" fillId="0" borderId="24" xfId="0" applyFont="1" applyBorder="1" applyAlignment="1">
      <alignment horizontal="center" vertical="top" wrapText="1"/>
    </xf>
    <xf numFmtId="0" fontId="26" fillId="0" borderId="28" xfId="0" applyFont="1" applyBorder="1" applyAlignment="1">
      <alignment horizontal="left" vertical="top" wrapText="1"/>
    </xf>
    <xf numFmtId="0" fontId="26" fillId="0" borderId="29" xfId="0" applyFont="1" applyBorder="1" applyAlignment="1">
      <alignment horizontal="left" vertical="top" wrapText="1"/>
    </xf>
    <xf numFmtId="0" fontId="26" fillId="0" borderId="30" xfId="0" applyFont="1" applyBorder="1" applyAlignment="1">
      <alignment horizontal="left" vertical="top" wrapText="1"/>
    </xf>
    <xf numFmtId="0" fontId="11" fillId="0" borderId="43" xfId="0" applyFont="1" applyBorder="1" applyAlignment="1">
      <alignment horizontal="center"/>
    </xf>
    <xf numFmtId="0" fontId="11" fillId="0" borderId="44" xfId="0" applyFont="1" applyBorder="1" applyAlignment="1">
      <alignment horizontal="center"/>
    </xf>
    <xf numFmtId="0" fontId="0" fillId="0" borderId="0" xfId="0" applyAlignment="1">
      <alignment horizontal="center"/>
    </xf>
    <xf numFmtId="0" fontId="0" fillId="0" borderId="0" xfId="0" applyAlignment="1">
      <alignment horizontal="right"/>
    </xf>
  </cellXfs>
  <cellStyles count="12">
    <cellStyle name="Comma" xfId="4" builtinId="3"/>
    <cellStyle name="Comma 2" xfId="3" xr:uid="{00000000-0005-0000-0000-000001000000}"/>
    <cellStyle name="Comma 2 2" xfId="9" xr:uid="{00000000-0005-0000-0000-000002000000}"/>
    <cellStyle name="Currency" xfId="7" builtinId="4"/>
    <cellStyle name="Currency 2" xfId="2" xr:uid="{00000000-0005-0000-0000-000004000000}"/>
    <cellStyle name="Normal" xfId="0" builtinId="0"/>
    <cellStyle name="Normal 2" xfId="1" xr:uid="{00000000-0005-0000-0000-000006000000}"/>
    <cellStyle name="Normal 2 2" xfId="8" xr:uid="{00000000-0005-0000-0000-000007000000}"/>
    <cellStyle name="Normal 3" xfId="5" xr:uid="{00000000-0005-0000-0000-000008000000}"/>
    <cellStyle name="Normal 4" xfId="11" xr:uid="{00000000-0005-0000-0000-000009000000}"/>
    <cellStyle name="Normal_RATES_2004" xfId="6" xr:uid="{00000000-0005-0000-0000-00000A000000}"/>
    <cellStyle name="Percent" xfId="10" builtinId="5"/>
  </cellStyles>
  <dxfs count="0"/>
  <tableStyles count="0" defaultTableStyle="TableStyleMedium2" defaultPivotStyle="PivotStyleLight16"/>
  <colors>
    <mruColors>
      <color rgb="FFEA06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image" Target="../media/image1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707092</xdr:colOff>
      <xdr:row>128</xdr:row>
      <xdr:rowOff>59017</xdr:rowOff>
    </xdr:from>
    <xdr:to>
      <xdr:col>6</xdr:col>
      <xdr:colOff>407829</xdr:colOff>
      <xdr:row>149</xdr:row>
      <xdr:rowOff>135218</xdr:rowOff>
    </xdr:to>
    <xdr:pic>
      <xdr:nvPicPr>
        <xdr:cNvPr id="2" name="Picture 1">
          <a:extLst>
            <a:ext uri="{FF2B5EF4-FFF2-40B4-BE49-F238E27FC236}">
              <a16:creationId xmlns:a16="http://schemas.microsoft.com/office/drawing/2014/main" id="{1712EA1C-F24E-4015-B75C-51EC5E4FA82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19680" y="26572135"/>
          <a:ext cx="6352615" cy="399825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791883</xdr:colOff>
      <xdr:row>149</xdr:row>
      <xdr:rowOff>186764</xdr:rowOff>
    </xdr:from>
    <xdr:to>
      <xdr:col>6</xdr:col>
      <xdr:colOff>452653</xdr:colOff>
      <xdr:row>166</xdr:row>
      <xdr:rowOff>177799</xdr:rowOff>
    </xdr:to>
    <xdr:pic>
      <xdr:nvPicPr>
        <xdr:cNvPr id="3" name="Picture 2">
          <a:extLst>
            <a:ext uri="{FF2B5EF4-FFF2-40B4-BE49-F238E27FC236}">
              <a16:creationId xmlns:a16="http://schemas.microsoft.com/office/drawing/2014/main" id="{655A09A8-EDE9-40AE-B5C9-2FE96272766F}"/>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397001" y="38947911"/>
          <a:ext cx="6028765" cy="322953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63162</xdr:colOff>
      <xdr:row>78</xdr:row>
      <xdr:rowOff>173181</xdr:rowOff>
    </xdr:from>
    <xdr:to>
      <xdr:col>7</xdr:col>
      <xdr:colOff>411971</xdr:colOff>
      <xdr:row>102</xdr:row>
      <xdr:rowOff>46265</xdr:rowOff>
    </xdr:to>
    <xdr:pic>
      <xdr:nvPicPr>
        <xdr:cNvPr id="4" name="Picture 3">
          <a:extLst>
            <a:ext uri="{FF2B5EF4-FFF2-40B4-BE49-F238E27FC236}">
              <a16:creationId xmlns:a16="http://schemas.microsoft.com/office/drawing/2014/main" id="{D6D0E34F-915F-4A7F-808C-5303D4B31D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483753" y="15032181"/>
          <a:ext cx="6254309" cy="444508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724646</xdr:colOff>
      <xdr:row>105</xdr:row>
      <xdr:rowOff>0</xdr:rowOff>
    </xdr:from>
    <xdr:to>
      <xdr:col>7</xdr:col>
      <xdr:colOff>8151</xdr:colOff>
      <xdr:row>126</xdr:row>
      <xdr:rowOff>95226</xdr:rowOff>
    </xdr:to>
    <xdr:pic>
      <xdr:nvPicPr>
        <xdr:cNvPr id="5" name="Picture 4">
          <a:extLst>
            <a:ext uri="{FF2B5EF4-FFF2-40B4-BE49-F238E27FC236}">
              <a16:creationId xmlns:a16="http://schemas.microsoft.com/office/drawing/2014/main" id="{AB5BEF56-9ADB-46CA-967D-DB803D3547AA}"/>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36967" y="29119286"/>
          <a:ext cx="6745676" cy="4095727"/>
        </a:xfrm>
        <a:prstGeom prst="rect">
          <a:avLst/>
        </a:prstGeom>
        <a:solidFill>
          <a:srgbClr val="FFFFFF">
            <a:shade val="85000"/>
          </a:srgbClr>
        </a:solidFill>
        <a:ln w="9525" cap="sq">
          <a:solidFill>
            <a:sysClr val="windowText" lastClr="000000"/>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1061775</xdr:colOff>
      <xdr:row>79</xdr:row>
      <xdr:rowOff>111008</xdr:rowOff>
    </xdr:from>
    <xdr:to>
      <xdr:col>12</xdr:col>
      <xdr:colOff>1315847</xdr:colOff>
      <xdr:row>104</xdr:row>
      <xdr:rowOff>54429</xdr:rowOff>
    </xdr:to>
    <xdr:pic>
      <xdr:nvPicPr>
        <xdr:cNvPr id="2" name="Picture 1">
          <a:extLst>
            <a:ext uri="{FF2B5EF4-FFF2-40B4-BE49-F238E27FC236}">
              <a16:creationId xmlns:a16="http://schemas.microsoft.com/office/drawing/2014/main" id="{2C842872-8FE7-43B0-876B-08D4E67E4A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219882" y="15432651"/>
          <a:ext cx="6159572" cy="4705921"/>
        </a:xfrm>
        <a:prstGeom prst="rect">
          <a:avLst/>
        </a:prstGeom>
        <a:ln>
          <a:solidFill>
            <a:sysClr val="windowText" lastClr="000000"/>
          </a:solidFill>
        </a:ln>
      </xdr:spPr>
    </xdr:pic>
    <xdr:clientData/>
  </xdr:twoCellAnchor>
  <xdr:twoCellAnchor editAs="oneCell">
    <xdr:from>
      <xdr:col>12</xdr:col>
      <xdr:colOff>1423873</xdr:colOff>
      <xdr:row>79</xdr:row>
      <xdr:rowOff>179241</xdr:rowOff>
    </xdr:from>
    <xdr:to>
      <xdr:col>19</xdr:col>
      <xdr:colOff>75625</xdr:colOff>
      <xdr:row>104</xdr:row>
      <xdr:rowOff>81642</xdr:rowOff>
    </xdr:to>
    <xdr:pic>
      <xdr:nvPicPr>
        <xdr:cNvPr id="3" name="Picture 2">
          <a:extLst>
            <a:ext uri="{FF2B5EF4-FFF2-40B4-BE49-F238E27FC236}">
              <a16:creationId xmlns:a16="http://schemas.microsoft.com/office/drawing/2014/main" id="{EAAEB054-96C2-45B5-ABF2-3889AE06893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487480" y="15500884"/>
          <a:ext cx="6856859" cy="4664901"/>
        </a:xfrm>
        <a:prstGeom prst="rect">
          <a:avLst/>
        </a:prstGeom>
        <a:ln>
          <a:solidFill>
            <a:sysClr val="windowText" lastClr="000000"/>
          </a:solidFill>
        </a:ln>
      </xdr:spPr>
    </xdr:pic>
    <xdr:clientData/>
  </xdr:twoCellAnchor>
  <xdr:twoCellAnchor editAs="oneCell">
    <xdr:from>
      <xdr:col>6</xdr:col>
      <xdr:colOff>1022724</xdr:colOff>
      <xdr:row>52</xdr:row>
      <xdr:rowOff>168088</xdr:rowOff>
    </xdr:from>
    <xdr:to>
      <xdr:col>11</xdr:col>
      <xdr:colOff>424695</xdr:colOff>
      <xdr:row>78</xdr:row>
      <xdr:rowOff>27214</xdr:rowOff>
    </xdr:to>
    <xdr:pic>
      <xdr:nvPicPr>
        <xdr:cNvPr id="4" name="Picture 3">
          <a:extLst>
            <a:ext uri="{FF2B5EF4-FFF2-40B4-BE49-F238E27FC236}">
              <a16:creationId xmlns:a16="http://schemas.microsoft.com/office/drawing/2014/main" id="{36346493-E1EC-4878-AFD7-FB4A37E6B4F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175253" y="10275794"/>
          <a:ext cx="6697001" cy="48457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268060</xdr:colOff>
      <xdr:row>8</xdr:row>
      <xdr:rowOff>89354</xdr:rowOff>
    </xdr:from>
    <xdr:ext cx="5704115" cy="3290183"/>
    <xdr:pic>
      <xdr:nvPicPr>
        <xdr:cNvPr id="2" name="Picture 1">
          <a:extLst>
            <a:ext uri="{FF2B5EF4-FFF2-40B4-BE49-F238E27FC236}">
              <a16:creationId xmlns:a16="http://schemas.microsoft.com/office/drawing/2014/main" id="{B4B36E30-8FE4-4DDA-8277-AA1025898F0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68060" y="1803854"/>
          <a:ext cx="5704115" cy="329018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273504</xdr:colOff>
      <xdr:row>26</xdr:row>
      <xdr:rowOff>3596</xdr:rowOff>
    </xdr:from>
    <xdr:ext cx="5698672" cy="6530553"/>
    <xdr:pic>
      <xdr:nvPicPr>
        <xdr:cNvPr id="3" name="Picture 2">
          <a:extLst>
            <a:ext uri="{FF2B5EF4-FFF2-40B4-BE49-F238E27FC236}">
              <a16:creationId xmlns:a16="http://schemas.microsoft.com/office/drawing/2014/main" id="{E309BC44-AAFF-4F78-B4D6-41726E3BADA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73504" y="5147096"/>
          <a:ext cx="5698672" cy="653055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283028</xdr:colOff>
      <xdr:row>60</xdr:row>
      <xdr:rowOff>128361</xdr:rowOff>
    </xdr:from>
    <xdr:ext cx="5689147" cy="1520806"/>
    <xdr:pic>
      <xdr:nvPicPr>
        <xdr:cNvPr id="4" name="Picture 3">
          <a:extLst>
            <a:ext uri="{FF2B5EF4-FFF2-40B4-BE49-F238E27FC236}">
              <a16:creationId xmlns:a16="http://schemas.microsoft.com/office/drawing/2014/main" id="{2BA4F16A-38CC-4BAE-8368-2A443A3040B5}"/>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83028" y="11748861"/>
          <a:ext cx="5689147" cy="152080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190500</xdr:colOff>
      <xdr:row>74</xdr:row>
      <xdr:rowOff>95249</xdr:rowOff>
    </xdr:from>
    <xdr:to>
      <xdr:col>7</xdr:col>
      <xdr:colOff>828675</xdr:colOff>
      <xdr:row>99</xdr:row>
      <xdr:rowOff>171450</xdr:rowOff>
    </xdr:to>
    <xdr:sp macro="" textlink="">
      <xdr:nvSpPr>
        <xdr:cNvPr id="31" name="TextBox 30">
          <a:extLst>
            <a:ext uri="{FF2B5EF4-FFF2-40B4-BE49-F238E27FC236}">
              <a16:creationId xmlns:a16="http://schemas.microsoft.com/office/drawing/2014/main" id="{1E663386-E24F-4287-9B6E-8C15D7831405}"/>
            </a:ext>
          </a:extLst>
        </xdr:cNvPr>
        <xdr:cNvSpPr txBox="1"/>
      </xdr:nvSpPr>
      <xdr:spPr>
        <a:xfrm>
          <a:off x="190500" y="14525624"/>
          <a:ext cx="6667500" cy="4838701"/>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Knight Piesold, "Projected Supernatant Pond Water Level Trends during 2020-2029" (2/6/2020)</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"A new water management strategy was recently implemented at the site as part of a pilot project associated with the Butte Mine Flooding Operable Unit (BMFOU) of Superfund. The pilot project facilitates the treatment and release of up to 10 million gallons per day (MGPD) of water from the YDTI. The water is treated at a Polishing Plant and the effluent is released near the confluence of the Blacktail and Silver Bow Creeks.</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One goal of the pilot project is to reduce the supernatant pond volume to approximately 15,000 to 20,000 acre-ft. The Polishing Plant began operating on September 30, 2019 and approximately 436 M gallons (~1,340 acre-ft) of water was removed from the YDTI during Q4 2019. Approximately 3 MGPD of Berkeley Pit water was treated and introduced into the system during the same time period. </a:t>
          </a:r>
          <a:r>
            <a:rPr lang="en-US" sz="1100" b="0" i="0" u="sng" strike="noStrike" baseline="0">
              <a:solidFill>
                <a:schemeClr val="dk1"/>
              </a:solidFill>
              <a:latin typeface="+mn-lt"/>
              <a:ea typeface="+mn-ea"/>
              <a:cs typeface="+mn-cs"/>
            </a:rPr>
            <a:t>The removal of water from the YDTI in Q4 2019 decreased the pond elevation by approximately 0.2 ft, which is a significant change from the average elevation increase of 1.5 ft observed during the same period over the preceding five years."</a:t>
          </a:r>
        </a:p>
        <a:p>
          <a:endParaRPr lang="en-US" sz="1100" b="0" i="0" u="sng"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"The reduction in water inventory stored within the YDTI due to the pilot project will significantly decrease the supernatant pond elevation (relative to conditions without the pilot project) over the next five-year period as shown on Figure 1. The magnitude of the decrease was estimated to be in excess of approximately 20 ft. </a:t>
          </a:r>
          <a:r>
            <a:rPr lang="en-US" sz="1100" b="0" i="0" u="sng" strike="noStrike" baseline="0">
              <a:solidFill>
                <a:schemeClr val="dk1"/>
              </a:solidFill>
              <a:latin typeface="+mn-lt"/>
              <a:ea typeface="+mn-ea"/>
              <a:cs typeface="+mn-cs"/>
            </a:rPr>
            <a:t>The pond elevation is expected to remain below approximately EL. 6,370 ft over the next five years as the YDTI pond volume is reduced to between 15,000 and 20,000 acre-ft. </a:t>
          </a:r>
          <a:r>
            <a:rPr lang="en-US" sz="1100" b="0" i="0" u="none" strike="noStrike" baseline="0">
              <a:solidFill>
                <a:schemeClr val="dk1"/>
              </a:solidFill>
              <a:latin typeface="+mn-lt"/>
              <a:ea typeface="+mn-ea"/>
              <a:cs typeface="+mn-cs"/>
            </a:rPr>
            <a:t>The pond elevation will therefore remain below the lowest piezometric elevation of EL. 6,379 ft that was recorded at the Potentiometric Low in July 2015 and significantly lower than the piezometric elevation of over EL. 6,400 ft observed in this area more recently. </a:t>
          </a:r>
        </a:p>
        <a:p>
          <a:endParaRPr lang="en-US" sz="1100" b="0" i="0" u="none" strike="noStrike" baseline="0">
            <a:solidFill>
              <a:schemeClr val="dk1"/>
            </a:solidFill>
            <a:latin typeface="+mn-lt"/>
            <a:ea typeface="+mn-ea"/>
            <a:cs typeface="+mn-cs"/>
          </a:endParaRPr>
        </a:p>
        <a:p>
          <a:r>
            <a:rPr lang="en-US" sz="1100" b="0" i="0" u="sng" strike="noStrike" baseline="0">
              <a:solidFill>
                <a:schemeClr val="dk1"/>
              </a:solidFill>
              <a:latin typeface="+mn-lt"/>
              <a:ea typeface="+mn-ea"/>
              <a:cs typeface="+mn-cs"/>
            </a:rPr>
            <a:t>The supernatant pond elevation is expected to increase beyond the EL. 6,379 ft level in approximately 2026 based on the current knowledge of the impoundment and projections of future operating conditions. </a:t>
          </a:r>
          <a:r>
            <a:rPr lang="en-US" sz="1100" b="1" i="0" u="sng" strike="noStrike" baseline="0">
              <a:solidFill>
                <a:schemeClr val="dk1"/>
              </a:solidFill>
              <a:latin typeface="+mn-lt"/>
              <a:ea typeface="+mn-ea"/>
              <a:cs typeface="+mn-cs"/>
            </a:rPr>
            <a:t>Therefore, the WED will not be needed for hydrodynamic containment and the WED could be plugged to prevent flow to the Extraction Pond in premature closure scenarios until 2026. </a:t>
          </a:r>
          <a:r>
            <a:rPr lang="en-US" sz="1100" b="0" i="0" u="none" strike="noStrike" baseline="0">
              <a:solidFill>
                <a:schemeClr val="dk1"/>
              </a:solidFill>
              <a:latin typeface="+mn-lt"/>
              <a:ea typeface="+mn-ea"/>
              <a:cs typeface="+mn-cs"/>
            </a:rPr>
            <a:t>These expected trends can be analyzed as part of on-going operations and projections can be periodically refined as more operating data becomes available."</a:t>
          </a:r>
          <a:endParaRPr lang="en-US" sz="1100" u="sng"/>
        </a:p>
      </xdr:txBody>
    </xdr:sp>
    <xdr:clientData/>
  </xdr:twoCellAnchor>
  <xdr:twoCellAnchor>
    <xdr:from>
      <xdr:col>0</xdr:col>
      <xdr:colOff>219074</xdr:colOff>
      <xdr:row>123</xdr:row>
      <xdr:rowOff>38100</xdr:rowOff>
    </xdr:from>
    <xdr:to>
      <xdr:col>7</xdr:col>
      <xdr:colOff>809625</xdr:colOff>
      <xdr:row>141</xdr:row>
      <xdr:rowOff>100853</xdr:rowOff>
    </xdr:to>
    <xdr:sp macro="" textlink="">
      <xdr:nvSpPr>
        <xdr:cNvPr id="33" name="TextBox 32">
          <a:extLst>
            <a:ext uri="{FF2B5EF4-FFF2-40B4-BE49-F238E27FC236}">
              <a16:creationId xmlns:a16="http://schemas.microsoft.com/office/drawing/2014/main" id="{67B9A65B-15A3-430A-AE5D-3E48E713C300}"/>
            </a:ext>
          </a:extLst>
        </xdr:cNvPr>
        <xdr:cNvSpPr txBox="1"/>
      </xdr:nvSpPr>
      <xdr:spPr>
        <a:xfrm>
          <a:off x="219074" y="23794571"/>
          <a:ext cx="6630522" cy="3491753"/>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chemeClr val="dk1"/>
              </a:solidFill>
              <a:latin typeface="+mn-lt"/>
              <a:ea typeface="+mn-ea"/>
              <a:cs typeface="+mn-cs"/>
            </a:rPr>
            <a:t>This figure presents the forecasted supernatant pond elevations for the following scenarios: </a:t>
          </a:r>
        </a:p>
        <a:p>
          <a:r>
            <a:rPr lang="en-US" sz="1100" b="0" i="0" u="none" strike="noStrike" baseline="0">
              <a:solidFill>
                <a:schemeClr val="dk1"/>
              </a:solidFill>
              <a:latin typeface="+mn-lt"/>
              <a:ea typeface="+mn-ea"/>
              <a:cs typeface="+mn-cs"/>
            </a:rPr>
            <a:t>• Operations continue following historical trends (i.e. no pilot project) </a:t>
          </a:r>
        </a:p>
        <a:p>
          <a:r>
            <a:rPr lang="en-US" sz="1100" b="0" i="0" u="none" strike="noStrike" baseline="0">
              <a:solidFill>
                <a:schemeClr val="dk1"/>
              </a:solidFill>
              <a:latin typeface="+mn-lt"/>
              <a:ea typeface="+mn-ea"/>
              <a:cs typeface="+mn-cs"/>
            </a:rPr>
            <a:t>• The pilot project reduces the supernatant pond to a nominal volume of 20,000 acre-ft over 5 years </a:t>
          </a:r>
        </a:p>
        <a:p>
          <a:r>
            <a:rPr lang="en-US" sz="1100" b="0" i="0" u="none" strike="noStrike" baseline="0">
              <a:solidFill>
                <a:schemeClr val="dk1"/>
              </a:solidFill>
              <a:latin typeface="+mn-lt"/>
              <a:ea typeface="+mn-ea"/>
              <a:cs typeface="+mn-cs"/>
            </a:rPr>
            <a:t>• The pilot project reduces the supernatant pond to a nominal volume of 15,000 acre-ft over 5 years </a:t>
          </a:r>
        </a:p>
        <a:p>
          <a:endParaRPr lang="en-US" sz="1100"/>
        </a:p>
        <a:p>
          <a:r>
            <a:rPr lang="en-US" sz="1100" b="0" i="0" u="none" strike="noStrike" baseline="0">
              <a:solidFill>
                <a:schemeClr val="dk1"/>
              </a:solidFill>
              <a:latin typeface="+mn-lt"/>
              <a:ea typeface="+mn-ea"/>
              <a:cs typeface="+mn-cs"/>
            </a:rPr>
            <a:t>The following inputs and assumptions were used to develop the projected pond elevations for each of the scenarios described above:</a:t>
          </a:r>
        </a:p>
        <a:p>
          <a:r>
            <a:rPr lang="en-US" sz="1100" b="0" i="0" u="none" strike="noStrike" baseline="0">
              <a:solidFill>
                <a:schemeClr val="dk1"/>
              </a:solidFill>
              <a:latin typeface="+mn-lt"/>
              <a:ea typeface="+mn-ea"/>
              <a:cs typeface="+mn-cs"/>
            </a:rPr>
            <a:t>• The operating pond volume at the end of Q3 2019 was 34,400 acre-ft, which was the pond volume estimated during the bathymetric survey conducted in July 2019 </a:t>
          </a:r>
        </a:p>
        <a:p>
          <a:r>
            <a:rPr lang="en-US" sz="1100" b="0" i="0" u="none" strike="noStrike" baseline="0">
              <a:solidFill>
                <a:schemeClr val="dk1"/>
              </a:solidFill>
              <a:latin typeface="+mn-lt"/>
              <a:ea typeface="+mn-ea"/>
              <a:cs typeface="+mn-cs"/>
            </a:rPr>
            <a:t>• The supernatant pond surface area was 774 acres, which was the surface area estimated during the bathymetric survey conducted in July 2019 </a:t>
          </a:r>
        </a:p>
        <a:p>
          <a:r>
            <a:rPr lang="en-US" sz="1100" b="0" i="0" u="none" strike="noStrike" baseline="0">
              <a:solidFill>
                <a:schemeClr val="dk1"/>
              </a:solidFill>
              <a:latin typeface="+mn-lt"/>
              <a:ea typeface="+mn-ea"/>
              <a:cs typeface="+mn-cs"/>
            </a:rPr>
            <a:t>• The supernatant pond surface area was assumed to remain the same as the pond decreases in volume, which is a conservative assumption to calculate the resulting pond elevation (i.e. if the pond decreases in area, then the pond elevation would be slightly lower than the estimated value) </a:t>
          </a:r>
        </a:p>
        <a:p>
          <a:r>
            <a:rPr lang="en-US" sz="1100" b="0" i="0" u="none" strike="noStrike" baseline="0">
              <a:solidFill>
                <a:schemeClr val="dk1"/>
              </a:solidFill>
              <a:latin typeface="+mn-lt"/>
              <a:ea typeface="+mn-ea"/>
              <a:cs typeface="+mn-cs"/>
            </a:rPr>
            <a:t>• The pond elevation without discharge of water from the YDTI would continue to rise at a rate of 6.3 ft/yr, which is the average rate observed over the three years preceding the pilot project </a:t>
          </a:r>
        </a:p>
        <a:p>
          <a:r>
            <a:rPr lang="en-US" sz="1100" b="0" i="0" u="none" strike="noStrike" baseline="0">
              <a:solidFill>
                <a:schemeClr val="dk1"/>
              </a:solidFill>
              <a:latin typeface="+mn-lt"/>
              <a:ea typeface="+mn-ea"/>
              <a:cs typeface="+mn-cs"/>
            </a:rPr>
            <a:t>• The discharge of YDTI water via the Polishing Plant reduces the pond volume </a:t>
          </a:r>
        </a:p>
        <a:p>
          <a:r>
            <a:rPr lang="en-US" sz="1100" b="0" i="0" u="none" strike="noStrike" baseline="0">
              <a:solidFill>
                <a:schemeClr val="dk1"/>
              </a:solidFill>
              <a:latin typeface="+mn-lt"/>
              <a:ea typeface="+mn-ea"/>
              <a:cs typeface="+mn-cs"/>
            </a:rPr>
            <a:t>• The change in elevation of the pond due to the reduction in water inventory is equivalent to the change in pond volume divided by the surface area of the pond </a:t>
          </a:r>
          <a:endParaRPr lang="en-US" sz="1100"/>
        </a:p>
      </xdr:txBody>
    </xdr:sp>
    <xdr:clientData/>
  </xdr:twoCellAnchor>
  <xdr:twoCellAnchor>
    <xdr:from>
      <xdr:col>0</xdr:col>
      <xdr:colOff>209550</xdr:colOff>
      <xdr:row>142</xdr:row>
      <xdr:rowOff>9525</xdr:rowOff>
    </xdr:from>
    <xdr:to>
      <xdr:col>7</xdr:col>
      <xdr:colOff>819150</xdr:colOff>
      <xdr:row>155</xdr:row>
      <xdr:rowOff>104774</xdr:rowOff>
    </xdr:to>
    <xdr:sp macro="" textlink="">
      <xdr:nvSpPr>
        <xdr:cNvPr id="34" name="TextBox 33">
          <a:extLst>
            <a:ext uri="{FF2B5EF4-FFF2-40B4-BE49-F238E27FC236}">
              <a16:creationId xmlns:a16="http://schemas.microsoft.com/office/drawing/2014/main" id="{900988E0-2193-4FAA-BB32-B9880076F24D}"/>
            </a:ext>
          </a:extLst>
        </xdr:cNvPr>
        <xdr:cNvSpPr txBox="1"/>
      </xdr:nvSpPr>
      <xdr:spPr>
        <a:xfrm>
          <a:off x="209550" y="27251025"/>
          <a:ext cx="4514850" cy="2571749"/>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The pond elevation</a:t>
          </a:r>
          <a:r>
            <a:rPr lang="en-US" sz="1100" b="1" baseline="0"/>
            <a:t> would remain below 6380 ft in 2025, so </a:t>
          </a:r>
          <a:r>
            <a:rPr lang="en-US" sz="1100" b="1"/>
            <a:t>it is assumed that pumping water from the WED Extraction Pond to the YDTI Pond during post-closure will not be needed in the next five years of operation, nor will water from the WED need to be treated with</a:t>
          </a:r>
          <a:r>
            <a:rPr lang="en-US" sz="1100" b="1" baseline="0"/>
            <a:t> lime prior to discharge to the pond.</a:t>
          </a:r>
        </a:p>
        <a:p>
          <a:endParaRPr lang="en-US" sz="1100" baseline="0"/>
        </a:p>
        <a:p>
          <a:r>
            <a:rPr lang="en-US" sz="1100" b="1" baseline="0"/>
            <a:t>In the event of an unanticipated closure in the next five year period, </a:t>
          </a:r>
          <a:r>
            <a:rPr lang="en-US" sz="1100" b="1" i="0" u="none" strike="noStrike" baseline="0">
              <a:solidFill>
                <a:schemeClr val="dk1"/>
              </a:solidFill>
              <a:latin typeface="+mn-lt"/>
              <a:ea typeface="+mn-ea"/>
              <a:cs typeface="+mn-cs"/>
            </a:rPr>
            <a:t>the WED would be grouted or otherwise sealed upstream of the Extraction Pond and WED pumping would be terminated. The bonding for this component of reclamation is included in the "Post Closure" tab calculations.</a:t>
          </a:r>
          <a:br>
            <a:rPr lang="en-US" sz="1100" b="1" i="0" u="none" strike="noStrike" baseline="0">
              <a:solidFill>
                <a:schemeClr val="dk1"/>
              </a:solidFill>
              <a:latin typeface="+mn-lt"/>
              <a:ea typeface="+mn-ea"/>
              <a:cs typeface="+mn-cs"/>
            </a:rPr>
          </a:br>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"Plugging of the WED will likely include grouting the south end of the WED to cut off flow to the extraction pond. After plugging, the WED will become flooded and no longer act as a drain, and water levels within the west tailings beach and groundwater west of the West Embankment will re-equilibrate to pre-WED flow conditions. Once groundwater conditions re-equilibrate, the overall West Ridge groundwater flow pattern will be eastward from the West Ridge crest towards and into the impoundment, similar to current flow conditions." (Amendment Application, Section 10.2.4)</a:t>
          </a:r>
          <a:endParaRPr lang="en-US" sz="1100" baseline="0"/>
        </a:p>
      </xdr:txBody>
    </xdr:sp>
    <xdr:clientData/>
  </xdr:twoCellAnchor>
  <xdr:twoCellAnchor>
    <xdr:from>
      <xdr:col>0</xdr:col>
      <xdr:colOff>178728</xdr:colOff>
      <xdr:row>158</xdr:row>
      <xdr:rowOff>126071</xdr:rowOff>
    </xdr:from>
    <xdr:to>
      <xdr:col>7</xdr:col>
      <xdr:colOff>809625</xdr:colOff>
      <xdr:row>177</xdr:row>
      <xdr:rowOff>161925</xdr:rowOff>
    </xdr:to>
    <xdr:sp macro="" textlink="">
      <xdr:nvSpPr>
        <xdr:cNvPr id="35" name="TextBox 34">
          <a:extLst>
            <a:ext uri="{FF2B5EF4-FFF2-40B4-BE49-F238E27FC236}">
              <a16:creationId xmlns:a16="http://schemas.microsoft.com/office/drawing/2014/main" id="{981BC912-A1F8-4D29-A0B8-82C081A2C209}"/>
            </a:ext>
          </a:extLst>
        </xdr:cNvPr>
        <xdr:cNvSpPr txBox="1"/>
      </xdr:nvSpPr>
      <xdr:spPr>
        <a:xfrm>
          <a:off x="178728" y="30415571"/>
          <a:ext cx="4545672" cy="3655354"/>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provided above, the current water treatment pilot project being conducted under BMFOU has</a:t>
          </a:r>
          <a:r>
            <a:rPr lang="en-US" sz="1100" baseline="0"/>
            <a:t> a significant effect on the volume and elevation of the YDTI pond. The determination to not include WED seepage treatment and pumpback in this bond calculation is contingent on the pond elevation remaining below 6380 ft (Anaconda datum) in the next five years.</a:t>
          </a:r>
        </a:p>
        <a:p>
          <a:endParaRPr lang="en-US" sz="1100" baseline="0"/>
        </a:p>
        <a:p>
          <a:r>
            <a:rPr lang="en-US" sz="1100" baseline="0"/>
            <a:t>Based on observations of groundwater elevations in the West Ridge, the WED was designed to intercept impoundment seepage and prevent impacts to adjacent groundwater systems. Even though the pond may be managed at a lower elevation during operations and the West Ridge groundwater elevations have increased since 2017, the pond elevation of 6380 ft was considered when establishing the "allowable hydraulic grade lines" for the </a:t>
          </a:r>
          <a:r>
            <a:rPr lang="en-US" sz="1100" baseline="0">
              <a:solidFill>
                <a:schemeClr val="dk1"/>
              </a:solidFill>
              <a:effectLst/>
              <a:latin typeface="+mn-lt"/>
              <a:ea typeface="+mn-ea"/>
              <a:cs typeface="+mn-cs"/>
            </a:rPr>
            <a:t>WED design</a:t>
          </a:r>
          <a:r>
            <a:rPr lang="en-US" sz="1100" baseline="0"/>
            <a:t>. Consequently, the 6380 ft elevation was the basis for DEQ's analysis of the the proposed closure plan with regard to hydrodynamic containment and protection of off-site water resources. If the pond elevation exceeds 6380 ft, then the closure plan requires that seepage collected in the WED will be treated and pumped back to the YDTI. This pumpback system would be used post-closure to manage water in the YDTI until the pond elevation decreases below 6380 ft and seepage rates dissipate to allow plugging the WED.</a:t>
          </a:r>
        </a:p>
        <a:p>
          <a:br>
            <a:rPr lang="en-US" sz="1100" baseline="0"/>
          </a:br>
          <a:r>
            <a:rPr lang="en-US" sz="1100" baseline="0"/>
            <a:t>Based on future observations of pond elevation and groundwater elevations during operations, DEQ may determine that post-closure water management and treatment are requirements of the reclamation bond within the next five years. As provided in 82-4-338(3)(a), MCA: "The department shall conduct an overview of the amount of each bond annually and shall conduct a comprehensive bond review at least every 5 years. The department may conduct additional comprehensive bond reviews if, after modification of a reclamation or operation plan, an annual overview, or an inspection of the permit area, the department determines that an increase of the bond level may be necessary." </a:t>
          </a:r>
          <a:r>
            <a:rPr lang="en-US" sz="1100" b="1" baseline="0"/>
            <a:t>The collection of representative monitoring data and timely submittals of the data to DEQ are crucial to ensure that reclamation bonding reflects site conditions.</a:t>
          </a:r>
        </a:p>
      </xdr:txBody>
    </xdr:sp>
    <xdr:clientData/>
  </xdr:twoCellAnchor>
  <xdr:twoCellAnchor>
    <xdr:from>
      <xdr:col>0</xdr:col>
      <xdr:colOff>200023</xdr:colOff>
      <xdr:row>178</xdr:row>
      <xdr:rowOff>47625</xdr:rowOff>
    </xdr:from>
    <xdr:to>
      <xdr:col>8</xdr:col>
      <xdr:colOff>19049</xdr:colOff>
      <xdr:row>197</xdr:row>
      <xdr:rowOff>76200</xdr:rowOff>
    </xdr:to>
    <xdr:sp macro="" textlink="">
      <xdr:nvSpPr>
        <xdr:cNvPr id="39" name="TextBox 38">
          <a:extLst>
            <a:ext uri="{FF2B5EF4-FFF2-40B4-BE49-F238E27FC236}">
              <a16:creationId xmlns:a16="http://schemas.microsoft.com/office/drawing/2014/main" id="{EFAAA690-FB2F-4F7C-B744-1DDF6BD11551}"/>
            </a:ext>
          </a:extLst>
        </xdr:cNvPr>
        <xdr:cNvSpPr txBox="1"/>
      </xdr:nvSpPr>
      <xdr:spPr>
        <a:xfrm>
          <a:off x="200023" y="34813875"/>
          <a:ext cx="6686551" cy="4314825"/>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dk1"/>
              </a:solidFill>
              <a:effectLst/>
              <a:latin typeface="+mn-lt"/>
              <a:ea typeface="+mn-ea"/>
              <a:cs typeface="+mn-cs"/>
            </a:rPr>
            <a:t>Monitoring locations along the West Embankment and the West Ridge were incorporated into the operational monitoring network as part of this amendment. Data collected from these monitoring locations, in addition to surveys of the YDTI pond elevation and volume, will be regularly assessed by DEQ to determine if the objectives for hydrodynamic containment are being achieved and if the pond elevation is increasing as projected by recent models. The assessment of monitoring data will also inform DEQ's annual bond review and </a:t>
          </a:r>
          <a:r>
            <a:rPr lang="en-US" sz="1100" b="1" baseline="0">
              <a:solidFill>
                <a:schemeClr val="dk1"/>
              </a:solidFill>
              <a:effectLst/>
              <a:latin typeface="+mn-lt"/>
              <a:ea typeface="+mn-ea"/>
              <a:cs typeface="+mn-cs"/>
            </a:rPr>
            <a:t>DEQ anticipates that the key monitoring locations for this evaluation may include, but are not limited to:</a:t>
          </a:r>
        </a:p>
        <a:p>
          <a:endParaRPr lang="en-US" sz="1100" b="1"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 MW12-16, MW16-01, MW16-02D, DH15-14, DH16-01 (low groundwater elevations on West Ridge)</a:t>
          </a:r>
        </a:p>
        <a:p>
          <a:r>
            <a:rPr lang="en-US" sz="1100" b="1" baseline="0">
              <a:solidFill>
                <a:schemeClr val="dk1"/>
              </a:solidFill>
              <a:effectLst/>
              <a:latin typeface="+mn-lt"/>
              <a:ea typeface="+mn-ea"/>
              <a:cs typeface="+mn-cs"/>
            </a:rPr>
            <a:t>-- DH15-05, DH15-09, DH15-12, VWP-DP1, VWP-DP2, VWP-EB1  (monitoring around WED/drain pods)</a:t>
          </a:r>
        </a:p>
        <a:p>
          <a:r>
            <a:rPr lang="en-US" sz="1100" b="1" baseline="0">
              <a:solidFill>
                <a:schemeClr val="dk1"/>
              </a:solidFill>
              <a:effectLst/>
              <a:latin typeface="+mn-lt"/>
              <a:ea typeface="+mn-ea"/>
              <a:cs typeface="+mn-cs"/>
            </a:rPr>
            <a:t>-- YDTI pond elevation and volume</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Some of the piezometers in the drain pod or extraction basin areas (VWP-DP1, -DP2, -EB1) have been proposed as additional Qualitative Performance Parameters (QPP)  in 2020, which would be reported to DEQ quarterly. Data from the YDTI pond surveys are also currently included in quarterly monitoring reports, but many groundwater elevation data are reported only annually.  </a:t>
          </a:r>
          <a:br>
            <a:rPr lang="en-US" sz="1100" baseline="0">
              <a:solidFill>
                <a:schemeClr val="dk1"/>
              </a:solidFill>
              <a:effectLst/>
              <a:latin typeface="+mn-lt"/>
              <a:ea typeface="+mn-ea"/>
              <a:cs typeface="+mn-cs"/>
            </a:rPr>
          </a:br>
          <a:br>
            <a:rPr lang="en-US" sz="1100" baseline="0">
              <a:solidFill>
                <a:schemeClr val="dk1"/>
              </a:solidFill>
              <a:effectLst/>
              <a:latin typeface="+mn-lt"/>
              <a:ea typeface="+mn-ea"/>
              <a:cs typeface="+mn-cs"/>
            </a:rPr>
          </a:br>
          <a:r>
            <a:rPr lang="en-US" sz="1100" b="1" baseline="0">
              <a:solidFill>
                <a:schemeClr val="dk1"/>
              </a:solidFill>
              <a:effectLst/>
              <a:latin typeface="+mn-lt"/>
              <a:ea typeface="+mn-ea"/>
              <a:cs typeface="+mn-cs"/>
            </a:rPr>
            <a:t>DEQ requests that the groundwater monitoring data for other key sites (e.g. near WED, low elevations on West Ridge) also be included in the comparisons provided in the quarterly monitoring reports, with more thorough discussion and complete datasets to be provided in the annual report. </a:t>
          </a:r>
        </a:p>
        <a:p>
          <a:endParaRPr lang="en-US" sz="1100" b="1"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DEQ also requests to be notified if/when the YDTI dewatering efforts through BMFOU cease or are modified from the current conditions (i.e. up to 10 MGPD removed). </a:t>
          </a:r>
          <a:r>
            <a:rPr lang="en-US" sz="1100" b="1"/>
            <a:t>DEQ may request additional modeling to predict</a:t>
          </a:r>
          <a:r>
            <a:rPr lang="en-US" sz="1100" b="1" baseline="0"/>
            <a:t> the pond elevations that may result from these changes to the YDTI water balance, thus determining whether the bond adequately reflects the site conditions that would occur during an unanticipated closure.</a:t>
          </a:r>
        </a:p>
      </xdr:txBody>
    </xdr:sp>
    <xdr:clientData/>
  </xdr:twoCellAnchor>
  <xdr:twoCellAnchor editAs="oneCell">
    <xdr:from>
      <xdr:col>1</xdr:col>
      <xdr:colOff>142876</xdr:colOff>
      <xdr:row>101</xdr:row>
      <xdr:rowOff>47626</xdr:rowOff>
    </xdr:from>
    <xdr:to>
      <xdr:col>7</xdr:col>
      <xdr:colOff>409575</xdr:colOff>
      <xdr:row>121</xdr:row>
      <xdr:rowOff>167726</xdr:rowOff>
    </xdr:to>
    <xdr:pic>
      <xdr:nvPicPr>
        <xdr:cNvPr id="40" name="Picture 39">
          <a:extLst>
            <a:ext uri="{FF2B5EF4-FFF2-40B4-BE49-F238E27FC236}">
              <a16:creationId xmlns:a16="http://schemas.microsoft.com/office/drawing/2014/main" id="{2F3489B1-5D05-44FF-8EBF-D264BF18143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33426" y="19621501"/>
          <a:ext cx="5705474" cy="3930100"/>
        </a:xfrm>
        <a:prstGeom prst="rect">
          <a:avLst/>
        </a:prstGeom>
        <a:ln>
          <a:solidFill>
            <a:sysClr val="windowText" lastClr="000000"/>
          </a:solidFill>
        </a:ln>
      </xdr:spPr>
    </xdr:pic>
    <xdr:clientData/>
  </xdr:twoCellAnchor>
  <xdr:twoCellAnchor>
    <xdr:from>
      <xdr:col>0</xdr:col>
      <xdr:colOff>228599</xdr:colOff>
      <xdr:row>198</xdr:row>
      <xdr:rowOff>66676</xdr:rowOff>
    </xdr:from>
    <xdr:to>
      <xdr:col>8</xdr:col>
      <xdr:colOff>38099</xdr:colOff>
      <xdr:row>200</xdr:row>
      <xdr:rowOff>200026</xdr:rowOff>
    </xdr:to>
    <xdr:sp macro="" textlink="">
      <xdr:nvSpPr>
        <xdr:cNvPr id="41" name="TextBox 40">
          <a:extLst>
            <a:ext uri="{FF2B5EF4-FFF2-40B4-BE49-F238E27FC236}">
              <a16:creationId xmlns:a16="http://schemas.microsoft.com/office/drawing/2014/main" id="{797AF5A7-CF26-422B-95D0-7E0C019222F4}"/>
            </a:ext>
          </a:extLst>
        </xdr:cNvPr>
        <xdr:cNvSpPr txBox="1"/>
      </xdr:nvSpPr>
      <xdr:spPr>
        <a:xfrm>
          <a:off x="228599" y="39357301"/>
          <a:ext cx="6677025" cy="6096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the scenario where it becomes necessary to include water pumpback and treatment in the bond calculation, see guidance and notes provided in previous drafts of Amendment 10 calculations.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201706</xdr:colOff>
      <xdr:row>411</xdr:row>
      <xdr:rowOff>92260</xdr:rowOff>
    </xdr:from>
    <xdr:to>
      <xdr:col>6</xdr:col>
      <xdr:colOff>117876</xdr:colOff>
      <xdr:row>441</xdr:row>
      <xdr:rowOff>78439</xdr:rowOff>
    </xdr:to>
    <xdr:pic>
      <xdr:nvPicPr>
        <xdr:cNvPr id="2" name="Picture 1">
          <a:extLst>
            <a:ext uri="{FF2B5EF4-FFF2-40B4-BE49-F238E27FC236}">
              <a16:creationId xmlns:a16="http://schemas.microsoft.com/office/drawing/2014/main" id="{C392F862-4ECD-4C6C-8D94-1C59A5E464A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1706" y="80427231"/>
          <a:ext cx="7995611" cy="570117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1364503</xdr:colOff>
      <xdr:row>97</xdr:row>
      <xdr:rowOff>169956</xdr:rowOff>
    </xdr:from>
    <xdr:to>
      <xdr:col>5</xdr:col>
      <xdr:colOff>138046</xdr:colOff>
      <xdr:row>123</xdr:row>
      <xdr:rowOff>179294</xdr:rowOff>
    </xdr:to>
    <xdr:pic>
      <xdr:nvPicPr>
        <xdr:cNvPr id="15" name="Picture 14">
          <a:extLst>
            <a:ext uri="{FF2B5EF4-FFF2-40B4-BE49-F238E27FC236}">
              <a16:creationId xmlns:a16="http://schemas.microsoft.com/office/drawing/2014/main" id="{BB43CC32-DCCE-469A-98CD-01E593F2AA99}"/>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364503" y="17550280"/>
          <a:ext cx="5689974" cy="496233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97</xdr:row>
      <xdr:rowOff>95250</xdr:rowOff>
    </xdr:from>
    <xdr:to>
      <xdr:col>6</xdr:col>
      <xdr:colOff>697139</xdr:colOff>
      <xdr:row>125</xdr:row>
      <xdr:rowOff>50800</xdr:rowOff>
    </xdr:to>
    <xdr:sp macro="" textlink="">
      <xdr:nvSpPr>
        <xdr:cNvPr id="3076" name="AutoShape 4">
          <a:extLst>
            <a:ext uri="{FF2B5EF4-FFF2-40B4-BE49-F238E27FC236}">
              <a16:creationId xmlns:a16="http://schemas.microsoft.com/office/drawing/2014/main" id="{11A083AA-63BB-4025-AAE2-EF454C4A9FD9}"/>
            </a:ext>
          </a:extLst>
        </xdr:cNvPr>
        <xdr:cNvSpPr>
          <a:spLocks noChangeAspect="1" noChangeArrowheads="1"/>
        </xdr:cNvSpPr>
      </xdr:nvSpPr>
      <xdr:spPr bwMode="auto">
        <a:xfrm>
          <a:off x="266700" y="7645400"/>
          <a:ext cx="8909050" cy="5111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800100</xdr:colOff>
      <xdr:row>378</xdr:row>
      <xdr:rowOff>6350</xdr:rowOff>
    </xdr:from>
    <xdr:to>
      <xdr:col>5</xdr:col>
      <xdr:colOff>1068615</xdr:colOff>
      <xdr:row>408</xdr:row>
      <xdr:rowOff>88900</xdr:rowOff>
    </xdr:to>
    <xdr:pic>
      <xdr:nvPicPr>
        <xdr:cNvPr id="8" name="Picture 7">
          <a:extLst>
            <a:ext uri="{FF2B5EF4-FFF2-40B4-BE49-F238E27FC236}">
              <a16:creationId xmlns:a16="http://schemas.microsoft.com/office/drawing/2014/main" id="{438193B8-9EFD-47E9-898B-FEBBD2EA728A}"/>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800100" y="69430900"/>
          <a:ext cx="7537450" cy="56070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92527</xdr:colOff>
      <xdr:row>125</xdr:row>
      <xdr:rowOff>83001</xdr:rowOff>
    </xdr:from>
    <xdr:to>
      <xdr:col>8</xdr:col>
      <xdr:colOff>272141</xdr:colOff>
      <xdr:row>143</xdr:row>
      <xdr:rowOff>0</xdr:rowOff>
    </xdr:to>
    <xdr:sp macro="" textlink="">
      <xdr:nvSpPr>
        <xdr:cNvPr id="4" name="TextBox 3">
          <a:extLst>
            <a:ext uri="{FF2B5EF4-FFF2-40B4-BE49-F238E27FC236}">
              <a16:creationId xmlns:a16="http://schemas.microsoft.com/office/drawing/2014/main" id="{761DCFEF-2D6F-49C3-8EA5-7D1266B99C5A}"/>
            </a:ext>
          </a:extLst>
        </xdr:cNvPr>
        <xdr:cNvSpPr txBox="1"/>
      </xdr:nvSpPr>
      <xdr:spPr>
        <a:xfrm>
          <a:off x="92527" y="24548644"/>
          <a:ext cx="10099221" cy="334599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ysClr val="windowText" lastClr="000000"/>
              </a:solidFill>
              <a:effectLst/>
              <a:latin typeface="+mn-lt"/>
              <a:ea typeface="+mn-ea"/>
              <a:cs typeface="+mn-cs"/>
            </a:rPr>
            <a:t>2019 Final EIS: "Final reclamation would include a partial wet closure with a reclaimed beach and Transition Zone, and a pond volume of approximately 1,000 acre-feet."</a:t>
          </a:r>
          <a:r>
            <a:rPr lang="en-US">
              <a:solidFill>
                <a:sysClr val="windowText" lastClr="000000"/>
              </a:solidFill>
            </a:rPr>
            <a:t> </a:t>
          </a:r>
          <a:br>
            <a:rPr lang="en-US" sz="1100" b="0" i="0" u="none" strike="noStrike" baseline="0">
              <a:solidFill>
                <a:sysClr val="windowText" lastClr="000000"/>
              </a:solidFill>
              <a:latin typeface="+mn-lt"/>
              <a:ea typeface="+mn-ea"/>
              <a:cs typeface="+mn-cs"/>
            </a:rPr>
          </a:br>
          <a:r>
            <a:rPr lang="en-US" sz="1100" b="0" i="0" u="none" strike="noStrike" baseline="0">
              <a:solidFill>
                <a:sysClr val="windowText" lastClr="000000"/>
              </a:solidFill>
              <a:latin typeface="+mn-lt"/>
              <a:ea typeface="+mn-ea"/>
              <a:cs typeface="+mn-cs"/>
            </a:rPr>
            <a:t>Reclamation would be accomplished incrementally as the tailings water recedes, exposing more Transition Zone for reclamation until the pond volume reaches approximately 1,000 acre-feet at equilibrium.</a:t>
          </a:r>
        </a:p>
        <a:p>
          <a:endParaRPr lang="en-US"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9/22/2020 KP Spillway Memo: "The 95th percentile result indicates that under unusually wet conditions the post-closure pond volume will be approximately 2,000 ac-ft once the pond has reached a ‘steady-state’ condition. The 95th percentile volume was adopted for this conceptual design as a conservative measure." “The pond in Year 2025 is expected to have a volume of 15,000 ac-ft and be at approximately elevation 6,376 ft; therefore, the minimum crest elevation is anticipated to be 6,398 ft, which is below the currently constructed embankment elevation of 6,400 ft.” </a:t>
          </a:r>
          <a:r>
            <a:rPr lang="en-US" sz="1100" baseline="0">
              <a:solidFill>
                <a:sysClr val="windowText" lastClr="000000"/>
              </a:solidFill>
              <a:effectLst/>
              <a:latin typeface="+mn-lt"/>
              <a:ea typeface="+mn-ea"/>
              <a:cs typeface="+mn-cs"/>
            </a:rPr>
            <a:t> </a:t>
          </a:r>
          <a:endParaRPr lang="en-US">
            <a:solidFill>
              <a:sysClr val="windowText" lastClr="000000"/>
            </a:solidFill>
            <a:effectLst/>
          </a:endParaRPr>
        </a:p>
        <a:p>
          <a:endParaRPr lang="en-US" sz="1100">
            <a:solidFill>
              <a:sysClr val="windowText" lastClr="000000"/>
            </a:solidFill>
            <a:effectLst/>
            <a:latin typeface="+mn-lt"/>
            <a:ea typeface="+mn-ea"/>
            <a:cs typeface="+mn-cs"/>
          </a:endParaRPr>
        </a:p>
        <a:p>
          <a:r>
            <a:rPr lang="en-US" sz="1100">
              <a:solidFill>
                <a:sysClr val="windowText" lastClr="000000"/>
              </a:solidFill>
              <a:effectLst/>
              <a:latin typeface="+mn-lt"/>
              <a:ea typeface="+mn-ea"/>
              <a:cs typeface="+mn-cs"/>
            </a:rPr>
            <a:t>10/2/2020 Response from MR: "The tailings beach surface modelled for the “Projected 2025 Disturbance Areas” map assumed an operating pond of 15,000 ac-ft, which would cover a total of 365 acres in 2025. The 15,000 ac-ft pond-beach interface/elevation in 2025 is delineated on the map, but the acreage has not been added to the Excel table to avoid duplication. The beach area between the 2025 15,000 acft operating pond elevation and the post-closure steady-state pond is the transition zone, which will be progressively reclaimed in five-year post-closure time steps as the pond recedes.</a:t>
          </a:r>
        </a:p>
        <a:p>
          <a:endParaRPr lang="en-US" sz="1100">
            <a:solidFill>
              <a:sysClr val="windowText" lastClr="000000"/>
            </a:solidFill>
            <a:effectLst/>
            <a:latin typeface="+mn-lt"/>
            <a:ea typeface="+mn-ea"/>
            <a:cs typeface="+mn-cs"/>
          </a:endParaRPr>
        </a:p>
        <a:p>
          <a:r>
            <a:rPr lang="en-US" sz="1100">
              <a:solidFill>
                <a:sysClr val="windowText" lastClr="000000"/>
              </a:solidFill>
              <a:effectLst/>
              <a:latin typeface="+mn-lt"/>
              <a:ea typeface="+mn-ea"/>
              <a:cs typeface="+mn-cs"/>
            </a:rPr>
            <a:t>A 15,000 ac-ft operating pond was selected for the 2025 model based on the estimated pond volume reduction that will occur as a result of the Berkeley Pit Pilot Project. The Pilot Project is designed to facilitate the discharge of up to 10 MGD from site and has achieved an approximate net deficit of 2.4 MGD from the YDTI pond through one year of operation. Based upon extrapolating this deficit, as well as a conservative loss, the pond volume is estimated to reach the target operating volume of 15,000 ac-ft in Q4 2024 or Q1 2025."</a:t>
          </a:r>
        </a:p>
        <a:p>
          <a:endParaRPr lang="en-US"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ndParaRPr>
        </a:p>
        <a:p>
          <a:endParaRPr lang="en-US" sz="1100">
            <a:solidFill>
              <a:sysClr val="windowText" lastClr="000000"/>
            </a:solidFill>
          </a:endParaRPr>
        </a:p>
      </xdr:txBody>
    </xdr:sp>
    <xdr:clientData/>
  </xdr:twoCellAnchor>
  <xdr:twoCellAnchor editAs="oneCell">
    <xdr:from>
      <xdr:col>0</xdr:col>
      <xdr:colOff>582706</xdr:colOff>
      <xdr:row>441</xdr:row>
      <xdr:rowOff>168088</xdr:rowOff>
    </xdr:from>
    <xdr:to>
      <xdr:col>5</xdr:col>
      <xdr:colOff>941294</xdr:colOff>
      <xdr:row>457</xdr:row>
      <xdr:rowOff>124305</xdr:rowOff>
    </xdr:to>
    <xdr:pic>
      <xdr:nvPicPr>
        <xdr:cNvPr id="6" name="Picture 5">
          <a:extLst>
            <a:ext uri="{FF2B5EF4-FFF2-40B4-BE49-F238E27FC236}">
              <a16:creationId xmlns:a16="http://schemas.microsoft.com/office/drawing/2014/main" id="{1CFE7491-626B-464F-8E0E-B32DC52BC69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82706" y="86218059"/>
          <a:ext cx="7261412" cy="3004217"/>
        </a:xfrm>
        <a:prstGeom prst="rect">
          <a:avLst/>
        </a:prstGeom>
        <a:ln>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168087</xdr:colOff>
      <xdr:row>12</xdr:row>
      <xdr:rowOff>134469</xdr:rowOff>
    </xdr:from>
    <xdr:to>
      <xdr:col>18</xdr:col>
      <xdr:colOff>253152</xdr:colOff>
      <xdr:row>29</xdr:row>
      <xdr:rowOff>14870</xdr:rowOff>
    </xdr:to>
    <xdr:pic>
      <xdr:nvPicPr>
        <xdr:cNvPr id="2" name="Picture 1">
          <a:extLst>
            <a:ext uri="{FF2B5EF4-FFF2-40B4-BE49-F238E27FC236}">
              <a16:creationId xmlns:a16="http://schemas.microsoft.com/office/drawing/2014/main" id="{DA164202-6108-4CD5-9412-AFD117D14F6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059705" y="2465293"/>
          <a:ext cx="7839535" cy="3309401"/>
        </a:xfrm>
        <a:prstGeom prst="rect">
          <a:avLst/>
        </a:prstGeom>
        <a:ln>
          <a:solidFill>
            <a:srgbClr val="7030A0"/>
          </a:solid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231322</xdr:colOff>
      <xdr:row>78</xdr:row>
      <xdr:rowOff>176894</xdr:rowOff>
    </xdr:from>
    <xdr:to>
      <xdr:col>3</xdr:col>
      <xdr:colOff>1306285</xdr:colOff>
      <xdr:row>99</xdr:row>
      <xdr:rowOff>108858</xdr:rowOff>
    </xdr:to>
    <xdr:sp macro="" textlink="">
      <xdr:nvSpPr>
        <xdr:cNvPr id="3" name="TextBox 2">
          <a:extLst>
            <a:ext uri="{FF2B5EF4-FFF2-40B4-BE49-F238E27FC236}">
              <a16:creationId xmlns:a16="http://schemas.microsoft.com/office/drawing/2014/main" id="{411FF4C2-50A8-4FD5-AE09-13F65C5A7441}"/>
            </a:ext>
          </a:extLst>
        </xdr:cNvPr>
        <xdr:cNvSpPr txBox="1"/>
      </xdr:nvSpPr>
      <xdr:spPr>
        <a:xfrm>
          <a:off x="231322" y="16178894"/>
          <a:ext cx="7905749" cy="393246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Bond Release (2008) Discussion:</a:t>
          </a:r>
        </a:p>
        <a:p>
          <a:r>
            <a:rPr lang="en-US" sz="1100" b="0" i="0" u="none" strike="noStrike">
              <a:solidFill>
                <a:schemeClr val="dk1"/>
              </a:solidFill>
              <a:effectLst/>
              <a:latin typeface="+mn-lt"/>
              <a:ea typeface="+mn-ea"/>
              <a:cs typeface="+mn-cs"/>
            </a:rPr>
            <a:t>In 2008, bond release was requested for resloping, soil placement, and vegetation establishment on multiple areas.</a:t>
          </a:r>
          <a:r>
            <a:rPr lang="en-US"/>
            <a:t> </a:t>
          </a:r>
          <a:r>
            <a:rPr lang="en-US" sz="1100" b="0" i="0" u="none" strike="noStrike">
              <a:solidFill>
                <a:schemeClr val="dk1"/>
              </a:solidFill>
              <a:effectLst/>
              <a:latin typeface="+mn-lt"/>
              <a:ea typeface="+mn-ea"/>
              <a:cs typeface="+mn-cs"/>
            </a:rPr>
            <a:t>Based on field inspection, the slope angles are satisfactory, approximately 2.5 to 3H:1V slope.</a:t>
          </a:r>
          <a:r>
            <a:rPr lang="en-US"/>
            <a:t> </a:t>
          </a:r>
          <a:r>
            <a:rPr lang="en-US" sz="1100" b="0" i="0" u="none" strike="noStrike">
              <a:solidFill>
                <a:schemeClr val="dk1"/>
              </a:solidFill>
              <a:effectLst/>
              <a:latin typeface="+mn-lt"/>
              <a:ea typeface="+mn-ea"/>
              <a:cs typeface="+mn-cs"/>
            </a:rPr>
            <a:t>The existing vegetation is a mixture of desirable grasses, forbs, and noxious weeds.</a:t>
          </a:r>
          <a:r>
            <a:rPr lang="en-US"/>
            <a:t> </a:t>
          </a:r>
        </a:p>
        <a:p>
          <a:endParaRPr lang="en-US" sz="1100"/>
        </a:p>
        <a:p>
          <a:r>
            <a:rPr lang="en-US" sz="1100" u="sng"/>
            <a:t>East and North East Dumps:</a:t>
          </a:r>
        </a:p>
        <a:p>
          <a:r>
            <a:rPr lang="en-US" sz="1100" b="0" i="0" u="none" strike="noStrike">
              <a:solidFill>
                <a:schemeClr val="dk1"/>
              </a:solidFill>
              <a:effectLst/>
              <a:latin typeface="+mn-lt"/>
              <a:ea typeface="+mn-ea"/>
              <a:cs typeface="+mn-cs"/>
            </a:rPr>
            <a:t>To achieve full bond release in the future, DEQ recommended the following for the East and North East Dumps:</a:t>
          </a:r>
        </a:p>
        <a:p>
          <a:r>
            <a:rPr lang="en-US" sz="1100" b="0" i="0" u="none" strike="noStrike">
              <a:solidFill>
                <a:schemeClr val="dk1"/>
              </a:solidFill>
              <a:effectLst/>
              <a:latin typeface="+mn-lt"/>
              <a:ea typeface="+mn-ea"/>
              <a:cs typeface="+mn-cs"/>
            </a:rPr>
            <a:t>Fix erosion gullies by fixing source problems, installing temporary BMP's, replace lost soil, seed, and weed spray (2-3x per year)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For the East and North East Dumps (Partially Reclaimed/Released) in the 2025 map, only the costs of revegetation, erosion repair, and weed control will apply</a:t>
          </a:r>
        </a:p>
        <a:p>
          <a:endParaRPr lang="en-US" sz="1100"/>
        </a:p>
        <a:p>
          <a:pPr marL="0" marR="0" lvl="0" indent="0" defTabSz="914400" eaLnBrk="1" fontAlgn="auto" latinLnBrk="0" hangingPunct="1">
            <a:lnSpc>
              <a:spcPct val="100000"/>
            </a:lnSpc>
            <a:spcBef>
              <a:spcPts val="0"/>
            </a:spcBef>
            <a:spcAft>
              <a:spcPts val="0"/>
            </a:spcAft>
            <a:buClrTx/>
            <a:buSzTx/>
            <a:buFontTx/>
            <a:buNone/>
            <a:tabLst/>
            <a:defRPr/>
          </a:pPr>
          <a:r>
            <a:rPr lang="en-US" sz="1100" u="sng">
              <a:solidFill>
                <a:schemeClr val="dk1"/>
              </a:solidFill>
              <a:effectLst/>
              <a:latin typeface="+mn-lt"/>
              <a:ea typeface="+mn-ea"/>
              <a:cs typeface="+mn-cs"/>
            </a:rPr>
            <a:t>Hillcrest Dump:</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effectLst/>
              <a:latin typeface="+mn-lt"/>
              <a:ea typeface="+mn-ea"/>
              <a:cs typeface="+mn-cs"/>
            </a:rPr>
            <a:t>No surface water collection ditches or slope break features were built on the Hillcrest slope (400-500 ft long)</a:t>
          </a:r>
          <a:r>
            <a:rPr lang="en-US"/>
            <a:t> </a:t>
          </a:r>
          <a:r>
            <a:rPr lang="en-US" sz="1100" b="0" i="0" u="none" strike="noStrike">
              <a:solidFill>
                <a:schemeClr val="dk1"/>
              </a:solidFill>
              <a:effectLst/>
              <a:latin typeface="+mn-lt"/>
              <a:ea typeface="+mn-ea"/>
              <a:cs typeface="+mn-cs"/>
            </a:rPr>
            <a:t>In addition, there exists three "hot spots" without vegetation, indicating poor soil quality.</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effectLst/>
              <a:latin typeface="+mn-lt"/>
              <a:ea typeface="+mn-ea"/>
              <a:cs typeface="+mn-cs"/>
            </a:rPr>
            <a:t>To achieve full bond release in the future, DEQ recommended the following for the Hillcrest Dump:</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effectLst/>
              <a:latin typeface="+mn-lt"/>
              <a:ea typeface="+mn-ea"/>
              <a:cs typeface="+mn-cs"/>
            </a:rPr>
            <a:t>Construct main surface water collection ditches to help prevent erosion, Fix all hot spots by selectively digging out the existing soil, re-apply lime and good quality soil, seed, and weed spray, Fix all erosion gullies by correcting the source problem, installing temporary BMPs, replace lost soil, seed, and weed spray</a:t>
          </a:r>
          <a:r>
            <a:rPr lang="en-US"/>
            <a:t> </a:t>
          </a:r>
          <a:r>
            <a:rPr lang="en-US" sz="1100" b="0" i="0" u="none" strike="noStrike">
              <a:solidFill>
                <a:schemeClr val="dk1"/>
              </a:solidFill>
              <a:effectLst/>
              <a:latin typeface="+mn-lt"/>
              <a:ea typeface="+mn-ea"/>
              <a:cs typeface="+mn-cs"/>
            </a:rPr>
            <a:t>(2-3x a time)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effectLst/>
              <a:latin typeface="+mn-lt"/>
              <a:ea typeface="+mn-ea"/>
              <a:cs typeface="+mn-cs"/>
            </a:rPr>
            <a:t>For the Hillcrest Dump (Partially Reclaimed/Released) in the 2025 map, the costs of constructing storm water channels, repairing hot spots, revegetation, erosion repair, and weed control will apply</a:t>
          </a:r>
          <a:r>
            <a:rPr lang="en-US"/>
            <a:t> </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95248</xdr:colOff>
      <xdr:row>20</xdr:row>
      <xdr:rowOff>76198</xdr:rowOff>
    </xdr:from>
    <xdr:to>
      <xdr:col>8</xdr:col>
      <xdr:colOff>728382</xdr:colOff>
      <xdr:row>33</xdr:row>
      <xdr:rowOff>78441</xdr:rowOff>
    </xdr:to>
    <xdr:sp macro="" textlink="">
      <xdr:nvSpPr>
        <xdr:cNvPr id="2" name="TextBox 1">
          <a:extLst>
            <a:ext uri="{FF2B5EF4-FFF2-40B4-BE49-F238E27FC236}">
              <a16:creationId xmlns:a16="http://schemas.microsoft.com/office/drawing/2014/main" id="{9B0A4BA9-66BC-4BB4-A64D-063B828484EE}"/>
            </a:ext>
          </a:extLst>
        </xdr:cNvPr>
        <xdr:cNvSpPr txBox="1"/>
      </xdr:nvSpPr>
      <xdr:spPr>
        <a:xfrm>
          <a:off x="95248" y="3931022"/>
          <a:ext cx="10953752" cy="247874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chemeClr val="dk1"/>
              </a:solidFill>
              <a:latin typeface="+mn-lt"/>
              <a:ea typeface="+mn-ea"/>
              <a:cs typeface="+mn-cs"/>
            </a:rPr>
            <a:t>The classification of some areas as  being “grandfathered,” "pre-1971,"pre-law," or “pre-1974” acres may have been confused through previous DEQ and MR correspondence and bond calculations. The following information is based on a current review of historic documents and on-going discussions with MR; conclusions are subject to change during the bond review.</a:t>
          </a:r>
          <a:br>
            <a:rPr lang="en-US" sz="1100" b="0" i="0" u="none" strike="noStrike" baseline="0">
              <a:solidFill>
                <a:schemeClr val="dk1"/>
              </a:solidFill>
              <a:latin typeface="+mn-lt"/>
              <a:ea typeface="+mn-ea"/>
              <a:cs typeface="+mn-cs"/>
            </a:rPr>
          </a:br>
          <a:endParaRPr lang="en-US" sz="1100" b="0" i="0" u="none" strike="noStrike" baseline="0">
            <a:solidFill>
              <a:schemeClr val="dk1"/>
            </a:solidFill>
            <a:latin typeface="+mn-lt"/>
            <a:ea typeface="+mn-ea"/>
            <a:cs typeface="+mn-cs"/>
          </a:endParaRPr>
        </a:p>
        <a:p>
          <a:r>
            <a:rPr lang="en-US" sz="1100" b="0" i="0">
              <a:solidFill>
                <a:schemeClr val="dk1"/>
              </a:solidFill>
              <a:effectLst/>
              <a:latin typeface="+mn-lt"/>
              <a:ea typeface="+mn-ea"/>
              <a:cs typeface="+mn-cs"/>
            </a:rPr>
            <a:t>Areas of mining disturbance existed prior to the date the MMRA </a:t>
          </a:r>
          <a:r>
            <a:rPr lang="en-US" sz="1100" b="0" i="0" u="none" strike="noStrike" baseline="0">
              <a:solidFill>
                <a:schemeClr val="dk1"/>
              </a:solidFill>
              <a:latin typeface="+mn-lt"/>
              <a:ea typeface="+mn-ea"/>
              <a:cs typeface="+mn-cs"/>
            </a:rPr>
            <a:t>took effect (3/9/1971). Additional amendments affecting bonding practices took effect on 7/1/1974. </a:t>
          </a:r>
          <a:r>
            <a:rPr lang="en-US" sz="1100" b="0" i="0" u="none" strike="noStrike" baseline="0">
              <a:solidFill>
                <a:schemeClr val="dk1"/>
              </a:solidFill>
              <a:effectLst/>
              <a:latin typeface="+mn-lt"/>
              <a:ea typeface="+mn-ea"/>
              <a:cs typeface="+mn-cs"/>
            </a:rPr>
            <a:t>A</a:t>
          </a:r>
          <a:r>
            <a:rPr lang="en-US" sz="1100" b="0" i="0" u="none" strike="noStrike" baseline="0">
              <a:solidFill>
                <a:schemeClr val="dk1"/>
              </a:solidFill>
              <a:latin typeface="+mn-lt"/>
              <a:ea typeface="+mn-ea"/>
              <a:cs typeface="+mn-cs"/>
            </a:rPr>
            <a:t>n opinion from the Attorney General in 1977 established that “The concentrator and precipitation plant operated by the Anaconda Company in Butte, Montana, are exempted from regulation under the Hard Rock Act by section 50-1219, R.C.M. 1947, since these facilities were constructed prior to enactment.”  These facilities have been referred to by many terms (see above), though it may be helpful to refer to them as "exempt" areas.  Site maps often show these as shaded areas within the Permit 00030 boundary, though they are exempt from the permit. Reclamation bond is not held for these areas ($0/acre). </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The permit exemption seems to have applied only to processing  facilities, although this is not expicit in the MMRA or Attorney General's Opinion. Other areas of pre-1971 disturbance (e.g. tailings impoundment, leach pads, dumps, roads, Berkeley Pit) were incorporated into Permit 00030, included in the Operating and Reclamation Plan,  and bonded accordingly. The bonding level for the Permit 00030 area has been limited to $500/acre, based on bonding levels applied between 1971 and 1974. Other permit areas (post-1974; Permits 00030A, 00041, and 00108) are bonded at the estimated current cost of completing reclamation.</a:t>
          </a:r>
          <a:endParaRPr lang="en-US" sz="1100"/>
        </a:p>
      </xdr:txBody>
    </xdr:sp>
    <xdr:clientData/>
  </xdr:twoCellAnchor>
  <xdr:twoCellAnchor>
    <xdr:from>
      <xdr:col>0</xdr:col>
      <xdr:colOff>133348</xdr:colOff>
      <xdr:row>39</xdr:row>
      <xdr:rowOff>133350</xdr:rowOff>
    </xdr:from>
    <xdr:to>
      <xdr:col>8</xdr:col>
      <xdr:colOff>1028699</xdr:colOff>
      <xdr:row>50</xdr:row>
      <xdr:rowOff>112058</xdr:rowOff>
    </xdr:to>
    <xdr:sp macro="" textlink="">
      <xdr:nvSpPr>
        <xdr:cNvPr id="5" name="TextBox 4">
          <a:extLst>
            <a:ext uri="{FF2B5EF4-FFF2-40B4-BE49-F238E27FC236}">
              <a16:creationId xmlns:a16="http://schemas.microsoft.com/office/drawing/2014/main" id="{9A547D66-7691-468E-BD78-C94B6ECA48D4}"/>
            </a:ext>
          </a:extLst>
        </xdr:cNvPr>
        <xdr:cNvSpPr txBox="1"/>
      </xdr:nvSpPr>
      <xdr:spPr>
        <a:xfrm>
          <a:off x="133348" y="5512174"/>
          <a:ext cx="9546292" cy="207420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The Annual Report from June 2020 (Table</a:t>
          </a:r>
          <a:r>
            <a:rPr lang="en-US" sz="1100" b="0" i="0" u="none" strike="noStrike" baseline="0">
              <a:solidFill>
                <a:schemeClr val="dk1"/>
              </a:solidFill>
              <a:effectLst/>
              <a:latin typeface="+mn-lt"/>
              <a:ea typeface="+mn-ea"/>
              <a:cs typeface="+mn-cs"/>
            </a:rPr>
            <a:t> 6.1) </a:t>
          </a:r>
          <a:r>
            <a:rPr lang="en-US" sz="1100" b="0" i="0" u="none" strike="noStrike">
              <a:solidFill>
                <a:schemeClr val="dk1"/>
              </a:solidFill>
              <a:effectLst/>
              <a:latin typeface="+mn-lt"/>
              <a:ea typeface="+mn-ea"/>
              <a:cs typeface="+mn-cs"/>
            </a:rPr>
            <a:t>lists the pre-law areas as 210 acres, which includes the Concentrator, Precipitation Plant, and Primary Crusher (42 acres).The acreage</a:t>
          </a:r>
          <a:r>
            <a:rPr lang="en-US" sz="1100" b="0" i="0" u="none" strike="noStrike" baseline="0">
              <a:solidFill>
                <a:schemeClr val="dk1"/>
              </a:solidFill>
              <a:effectLst/>
              <a:latin typeface="+mn-lt"/>
              <a:ea typeface="+mn-ea"/>
              <a:cs typeface="+mn-cs"/>
            </a:rPr>
            <a:t> was updated to 44 acres with new mapping in Sept 2020. (see 10/2/2020 Response)</a:t>
          </a:r>
        </a:p>
        <a:p>
          <a:endParaRPr lang="en-US" sz="1100" b="0" i="0" u="none" strike="noStrike" baseline="0">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After</a:t>
          </a:r>
          <a:r>
            <a:rPr lang="en-US" sz="1100" b="0" i="0" u="none" strike="noStrike" baseline="0">
              <a:solidFill>
                <a:schemeClr val="dk1"/>
              </a:solidFill>
              <a:effectLst/>
              <a:latin typeface="+mn-lt"/>
              <a:ea typeface="+mn-ea"/>
              <a:cs typeface="+mn-cs"/>
            </a:rPr>
            <a:t> discussion with MR and review of historic photos, DEQ has determined that the Primary Crusher should be considered as a pre-1971 processing facility. This means the 44-acre area is also exempt from the permit, even though this facility was not mentioned specifically in the Attorney General's Opinion and it was mistakenly ommitted from the list of exempt facilities in historic permit documents.</a:t>
          </a:r>
        </a:p>
        <a:p>
          <a:endParaRPr lang="en-US" sz="11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The </a:t>
          </a:r>
          <a:r>
            <a:rPr lang="en-US" sz="1100" b="0" i="0" baseline="0">
              <a:solidFill>
                <a:schemeClr val="dk1"/>
              </a:solidFill>
              <a:effectLst/>
              <a:latin typeface="+mn-lt"/>
              <a:ea typeface="+mn-ea"/>
              <a:cs typeface="+mn-cs"/>
            </a:rPr>
            <a:t>consolidated Operating Plan (2019) and 2015 5-year bond determination also listed other facilities as being pre-law, but that terminology may not be correct. These facilities occur within Permit 00030 acres. This means that these features apply to the total acreage and disturbance area of Permit 00030 and they do not need to be depicted as isolated exclusion areas within the permit. This also means that the pre-1974 bond limit of $500/acre is applied to these areas, unless other considerations are needed (see below).</a:t>
          </a:r>
          <a:endParaRPr lang="en-US" sz="1100" b="0" i="0" u="none" strike="noStrike">
            <a:solidFill>
              <a:schemeClr val="dk1"/>
            </a:solidFill>
            <a:effectLst/>
            <a:latin typeface="+mn-lt"/>
            <a:ea typeface="+mn-ea"/>
            <a:cs typeface="+mn-cs"/>
          </a:endParaRPr>
        </a:p>
      </xdr:txBody>
    </xdr:sp>
    <xdr:clientData/>
  </xdr:twoCellAnchor>
  <xdr:twoCellAnchor>
    <xdr:from>
      <xdr:col>0</xdr:col>
      <xdr:colOff>151280</xdr:colOff>
      <xdr:row>52</xdr:row>
      <xdr:rowOff>115420</xdr:rowOff>
    </xdr:from>
    <xdr:to>
      <xdr:col>9</xdr:col>
      <xdr:colOff>0</xdr:colOff>
      <xdr:row>60</xdr:row>
      <xdr:rowOff>89646</xdr:rowOff>
    </xdr:to>
    <xdr:sp macro="" textlink="">
      <xdr:nvSpPr>
        <xdr:cNvPr id="7" name="TextBox 6">
          <a:extLst>
            <a:ext uri="{FF2B5EF4-FFF2-40B4-BE49-F238E27FC236}">
              <a16:creationId xmlns:a16="http://schemas.microsoft.com/office/drawing/2014/main" id="{81709A7E-2E57-4348-9E5D-6B47FBAEC264}"/>
            </a:ext>
          </a:extLst>
        </xdr:cNvPr>
        <xdr:cNvSpPr txBox="1"/>
      </xdr:nvSpPr>
      <xdr:spPr>
        <a:xfrm>
          <a:off x="151280" y="8228479"/>
          <a:ext cx="9530602" cy="149822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chemeClr val="dk1"/>
              </a:solidFill>
              <a:effectLst/>
              <a:latin typeface="+mn-lt"/>
              <a:ea typeface="+mn-ea"/>
              <a:cs typeface="+mn-cs"/>
            </a:rPr>
            <a:t>The full costs for removal and reclamation of these facilities or structures may not be applied to the total obligated bond because they are located within Permit 00030, thus the bond limit of $500/acre has already been applied for that location. This might give the impression that the facilities themselves are exempt from bonding, but it should not be interpreted that the facilities are exempt from the permit ("pre-law"). </a:t>
          </a:r>
        </a:p>
        <a:p>
          <a:endParaRPr lang="en-US" sz="1100" b="0" i="0" u="none" strike="noStrike"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Another distinction can be made for some features within Permit 00030 that may not be bonded because the long-term operation, reclamation, and/or removal of facilities will be managed under Superfund activities (within Butte Mine Flooding Operable Unit). These would include the Berkeley Pit and other features associated with water management and water treatment. This might give the impression that the facilities themselves are exempt from bonding, but it should not be interpreted that the facilities are exempt from the permit ("pre-law"). </a:t>
          </a:r>
          <a:endParaRPr lang="en-US" sz="1100" b="0" i="0" u="none" strike="noStrike">
            <a:solidFill>
              <a:schemeClr val="dk1"/>
            </a:solidFill>
            <a:effectLst/>
            <a:latin typeface="+mn-lt"/>
            <a:ea typeface="+mn-ea"/>
            <a:cs typeface="+mn-cs"/>
          </a:endParaRPr>
        </a:p>
      </xdr:txBody>
    </xdr:sp>
    <xdr:clientData/>
  </xdr:twoCellAnchor>
  <xdr:twoCellAnchor editAs="oneCell">
    <xdr:from>
      <xdr:col>9</xdr:col>
      <xdr:colOff>311498</xdr:colOff>
      <xdr:row>69</xdr:row>
      <xdr:rowOff>134470</xdr:rowOff>
    </xdr:from>
    <xdr:to>
      <xdr:col>16</xdr:col>
      <xdr:colOff>572518</xdr:colOff>
      <xdr:row>90</xdr:row>
      <xdr:rowOff>38510</xdr:rowOff>
    </xdr:to>
    <xdr:pic>
      <xdr:nvPicPr>
        <xdr:cNvPr id="8" name="Picture 7">
          <a:extLst>
            <a:ext uri="{FF2B5EF4-FFF2-40B4-BE49-F238E27FC236}">
              <a16:creationId xmlns:a16="http://schemas.microsoft.com/office/drawing/2014/main" id="{B44EF9B7-2CAB-424D-BAAC-6D97A61AC5A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993380" y="11598088"/>
          <a:ext cx="5090755" cy="3904540"/>
        </a:xfrm>
        <a:prstGeom prst="rect">
          <a:avLst/>
        </a:prstGeom>
      </xdr:spPr>
    </xdr:pic>
    <xdr:clientData/>
  </xdr:twoCellAnchor>
  <xdr:twoCellAnchor>
    <xdr:from>
      <xdr:col>0</xdr:col>
      <xdr:colOff>156882</xdr:colOff>
      <xdr:row>73</xdr:row>
      <xdr:rowOff>72328</xdr:rowOff>
    </xdr:from>
    <xdr:to>
      <xdr:col>8</xdr:col>
      <xdr:colOff>851647</xdr:colOff>
      <xdr:row>88</xdr:row>
      <xdr:rowOff>112058</xdr:rowOff>
    </xdr:to>
    <xdr:sp macro="" textlink="">
      <xdr:nvSpPr>
        <xdr:cNvPr id="3" name="TextBox 2">
          <a:extLst>
            <a:ext uri="{FF2B5EF4-FFF2-40B4-BE49-F238E27FC236}">
              <a16:creationId xmlns:a16="http://schemas.microsoft.com/office/drawing/2014/main" id="{A63DEE11-1836-4EC1-BF0B-BB74ACD76876}"/>
            </a:ext>
          </a:extLst>
        </xdr:cNvPr>
        <xdr:cNvSpPr txBox="1"/>
      </xdr:nvSpPr>
      <xdr:spPr>
        <a:xfrm>
          <a:off x="156882" y="12107446"/>
          <a:ext cx="9345706" cy="289723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2004, 109 acres of OP#00030 were removed from the permit area and transferred to the Butte Priority Soils Operable Unit (BPSOU) and the Granite Mountain Memorial Interpretive Area (GMMIA). Revision MR20-001 (approved 8/26/2020) incorporated 17 acres (out of the 109-acre area) back into OP#00030. This area includes the Horseshoe Bend Capture System booster pump station and associated infrastructure (pipeline, access roads, powerline). This pump station was planned, approved, and constructed as part of the Berkeley Pit and Discharge Pilot Project. As part of the remedial activities within the Butte Mine Flooding Operable Unit (BMFOU), this facility will continue to be operated and will be decommissioned, if ever, under Superfund (EPA) jurisdiction.</a:t>
          </a:r>
        </a:p>
        <a:p>
          <a:endParaRPr lang="en-US" sz="1100"/>
        </a:p>
        <a:p>
          <a:r>
            <a:rPr lang="en-US" sz="1100"/>
            <a:t>The “new” 17 acres are subject to the current law regarding the performance bond and not the pre-1974 level. “All bonds required in accordance with the provisions of this section must be based upon reasonably foreseeable activities that the applicant may conduct in order to comply with conditions of an operating permit” 82-4-338(6), Montana Code Annotated (MCA). Any associated bond amount would reflect the reclamation standards to be achieved, which must take into account the comparable utility and stability of adjacent areas and previously approved post-mining land use (82-4-336(9), MCA).</a:t>
          </a:r>
        </a:p>
        <a:p>
          <a:endParaRPr lang="en-US" sz="1100"/>
        </a:p>
        <a:p>
          <a:r>
            <a:rPr lang="en-US" sz="1100"/>
            <a:t>However, under the conditions of the GMMIA to preserve the historic mining landscape, regrading, soil placement, or revegetation would not occur in the 17 acres. It is appropriate for the reclamation of this area to match the post-mining land use of adjacent areas for historic preservation. As noted above, any potential decommissioning of the booster pump station and associated infrastructure would be conducted under EPA’s jurisdiction within the BMFOU. The</a:t>
          </a:r>
          <a:r>
            <a:rPr lang="en-US" sz="1100" baseline="0"/>
            <a:t> 2020 BPSOU boundary includes this area, but excludes the "Sludge Repository" and "Walkerville Landfill" areas identified within the GMMIA. boundary</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152880</xdr:colOff>
      <xdr:row>103</xdr:row>
      <xdr:rowOff>56030</xdr:rowOff>
    </xdr:from>
    <xdr:to>
      <xdr:col>2</xdr:col>
      <xdr:colOff>2218765</xdr:colOff>
      <xdr:row>111</xdr:row>
      <xdr:rowOff>44825</xdr:rowOff>
    </xdr:to>
    <xdr:sp macro="" textlink="">
      <xdr:nvSpPr>
        <xdr:cNvPr id="2" name="TextBox 1">
          <a:extLst>
            <a:ext uri="{FF2B5EF4-FFF2-40B4-BE49-F238E27FC236}">
              <a16:creationId xmlns:a16="http://schemas.microsoft.com/office/drawing/2014/main" id="{77A5B0DA-AD39-498D-936A-162545D29F19}"/>
            </a:ext>
          </a:extLst>
        </xdr:cNvPr>
        <xdr:cNvSpPr txBox="1"/>
      </xdr:nvSpPr>
      <xdr:spPr>
        <a:xfrm>
          <a:off x="152880" y="18769854"/>
          <a:ext cx="6447385" cy="159123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As shown in the 2025 Site Plan map, these</a:t>
          </a:r>
          <a:r>
            <a:rPr lang="en-US" sz="1100" baseline="0">
              <a:solidFill>
                <a:sysClr val="windowText" lastClr="000000"/>
              </a:solidFill>
            </a:rPr>
            <a:t> areas occur in many locations around the site.</a:t>
          </a:r>
        </a:p>
        <a:p>
          <a:r>
            <a:rPr lang="en-US" sz="1100" baseline="0">
              <a:solidFill>
                <a:sysClr val="windowText" lastClr="000000"/>
              </a:solidFill>
            </a:rPr>
            <a:t>Without identifying the slope and reclamation method for every polygon, DEQ and MR agreed to a general approach of applying a slope acreage adjustment to half of the areas. This assumes 50% of area has slopes </a:t>
          </a:r>
          <a:r>
            <a:rPr lang="en-US" sz="1100">
              <a:solidFill>
                <a:schemeClr val="dk1"/>
              </a:solidFill>
              <a:effectLst/>
              <a:latin typeface="+mn-lt"/>
              <a:ea typeface="+mn-ea"/>
              <a:cs typeface="+mn-cs"/>
            </a:rPr>
            <a:t>from 20-40 percent (factor of 1.0525), and the other 50% of the area has slopes</a:t>
          </a:r>
          <a:r>
            <a:rPr lang="en-US" sz="1100" baseline="0">
              <a:solidFill>
                <a:schemeClr val="dk1"/>
              </a:solidFill>
              <a:effectLst/>
              <a:latin typeface="+mn-lt"/>
              <a:ea typeface="+mn-ea"/>
              <a:cs typeface="+mn-cs"/>
            </a:rPr>
            <a:t> </a:t>
          </a:r>
          <a:r>
            <a:rPr lang="en-US" sz="1100">
              <a:solidFill>
                <a:sysClr val="windowText" lastClr="000000"/>
              </a:solidFill>
            </a:rPr>
            <a:t>between 0 and 20 percent (factor of 1.0).</a:t>
          </a:r>
        </a:p>
        <a:p>
          <a:endParaRPr lang="en-US" sz="1100" b="0" i="0" u="none" strike="noStrike">
            <a:solidFill>
              <a:sysClr val="windowText" lastClr="000000"/>
            </a:solidFill>
            <a:effectLst/>
            <a:latin typeface="+mn-lt"/>
            <a:ea typeface="+mn-ea"/>
            <a:cs typeface="+mn-cs"/>
          </a:endParaRPr>
        </a:p>
        <a:p>
          <a:r>
            <a:rPr lang="en-US" sz="1100" b="0" i="0" u="none" strike="noStrike">
              <a:solidFill>
                <a:sysClr val="windowText" lastClr="000000"/>
              </a:solidFill>
              <a:effectLst/>
              <a:latin typeface="+mn-lt"/>
              <a:ea typeface="+mn-ea"/>
              <a:cs typeface="+mn-cs"/>
            </a:rPr>
            <a:t>Consistent with previous bond calculations for miscellaneous</a:t>
          </a:r>
          <a:r>
            <a:rPr lang="en-US" sz="1100" b="0" i="0" u="none" strike="noStrike" baseline="0">
              <a:solidFill>
                <a:sysClr val="windowText" lastClr="000000"/>
              </a:solidFill>
              <a:effectLst/>
              <a:latin typeface="+mn-lt"/>
              <a:ea typeface="+mn-ea"/>
              <a:cs typeface="+mn-cs"/>
            </a:rPr>
            <a:t> areas, r</a:t>
          </a:r>
          <a:r>
            <a:rPr lang="en-US" sz="1100" b="0" i="0" u="none" strike="noStrike">
              <a:solidFill>
                <a:sysClr val="windowText" lastClr="000000"/>
              </a:solidFill>
              <a:effectLst/>
              <a:latin typeface="+mn-lt"/>
              <a:ea typeface="+mn-ea"/>
              <a:cs typeface="+mn-cs"/>
            </a:rPr>
            <a:t>eclamation </a:t>
          </a:r>
          <a:r>
            <a:rPr lang="en-US" sz="1100" b="0" i="0" u="none" strike="noStrike">
              <a:solidFill>
                <a:schemeClr val="dk1"/>
              </a:solidFill>
              <a:effectLst/>
              <a:latin typeface="+mn-lt"/>
              <a:ea typeface="+mn-ea"/>
              <a:cs typeface="+mn-cs"/>
            </a:rPr>
            <a:t>will include grading, rippineg,</a:t>
          </a:r>
          <a:r>
            <a:rPr lang="en-US" sz="1100" b="0" i="0" u="none" strike="noStrike" baseline="0">
              <a:solidFill>
                <a:schemeClr val="dk1"/>
              </a:solidFill>
              <a:effectLst/>
              <a:latin typeface="+mn-lt"/>
              <a:ea typeface="+mn-ea"/>
              <a:cs typeface="+mn-cs"/>
            </a:rPr>
            <a:t> capping with </a:t>
          </a:r>
          <a:r>
            <a:rPr lang="en-US" sz="1100" b="0" i="0" u="none" strike="noStrike">
              <a:solidFill>
                <a:schemeClr val="dk1"/>
              </a:solidFill>
              <a:effectLst/>
              <a:latin typeface="+mn-lt"/>
              <a:ea typeface="+mn-ea"/>
              <a:cs typeface="+mn-cs"/>
            </a:rPr>
            <a:t>28 inches of alluvium, and revegetating.</a:t>
          </a:r>
          <a:endParaRPr lang="en-US" sz="1100">
            <a:solidFill>
              <a:sysClr val="windowText" lastClr="000000"/>
            </a:solidFill>
          </a:endParaRPr>
        </a:p>
      </xdr:txBody>
    </xdr:sp>
    <xdr:clientData/>
  </xdr:twoCellAnchor>
  <xdr:twoCellAnchor>
    <xdr:from>
      <xdr:col>0</xdr:col>
      <xdr:colOff>163285</xdr:colOff>
      <xdr:row>86</xdr:row>
      <xdr:rowOff>122464</xdr:rowOff>
    </xdr:from>
    <xdr:to>
      <xdr:col>2</xdr:col>
      <xdr:colOff>2109106</xdr:colOff>
      <xdr:row>91</xdr:row>
      <xdr:rowOff>27214</xdr:rowOff>
    </xdr:to>
    <xdr:sp macro="" textlink="">
      <xdr:nvSpPr>
        <xdr:cNvPr id="3" name="TextBox 2">
          <a:extLst>
            <a:ext uri="{FF2B5EF4-FFF2-40B4-BE49-F238E27FC236}">
              <a16:creationId xmlns:a16="http://schemas.microsoft.com/office/drawing/2014/main" id="{7A6E75BF-9809-4634-927A-9DB324B3FA5A}"/>
            </a:ext>
          </a:extLst>
        </xdr:cNvPr>
        <xdr:cNvSpPr txBox="1"/>
      </xdr:nvSpPr>
      <xdr:spPr>
        <a:xfrm>
          <a:off x="163285" y="15920357"/>
          <a:ext cx="6327321" cy="8572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Reclamation of stockpile footprints would not require grading and soil placement.</a:t>
          </a:r>
        </a:p>
        <a:p>
          <a:r>
            <a:rPr lang="en-US" sz="1100"/>
            <a:t>"Once all soil has been removed, stockpile storage areas will be ripped to relieve compaction. Revegetation will be conducted as described in Section 9.0" (Section 8.2 of 2018 Amendment Application)</a:t>
          </a:r>
        </a:p>
        <a:p>
          <a:r>
            <a:rPr lang="en-US" sz="1100"/>
            <a:t>Only ripping and revegetation costs will be applied for these areas.</a:t>
          </a:r>
        </a:p>
      </xdr:txBody>
    </xdr:sp>
    <xdr:clientData/>
  </xdr:twoCellAnchor>
  <xdr:twoCellAnchor>
    <xdr:from>
      <xdr:col>0</xdr:col>
      <xdr:colOff>176893</xdr:colOff>
      <xdr:row>68</xdr:row>
      <xdr:rowOff>67236</xdr:rowOff>
    </xdr:from>
    <xdr:to>
      <xdr:col>2</xdr:col>
      <xdr:colOff>2263588</xdr:colOff>
      <xdr:row>78</xdr:row>
      <xdr:rowOff>33618</xdr:rowOff>
    </xdr:to>
    <xdr:sp macro="" textlink="">
      <xdr:nvSpPr>
        <xdr:cNvPr id="4" name="TextBox 3">
          <a:extLst>
            <a:ext uri="{FF2B5EF4-FFF2-40B4-BE49-F238E27FC236}">
              <a16:creationId xmlns:a16="http://schemas.microsoft.com/office/drawing/2014/main" id="{A26F6B6C-DDFC-4391-AE17-72006B95F304}"/>
            </a:ext>
          </a:extLst>
        </xdr:cNvPr>
        <xdr:cNvSpPr txBox="1"/>
      </xdr:nvSpPr>
      <xdr:spPr>
        <a:xfrm>
          <a:off x="176893" y="11463618"/>
          <a:ext cx="6468195" cy="187138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Access routes will be needed across the site during reclamation and post-closure. For roads-- “Reclamation will consist of grading to blend into adjacent areas, ripping compacted surfaces, capping with 24 inches of alluvium, and revegetating (as described in Section 9.0). Stable road cuts in rock will not be graded. Grading will be conducted to minimize surface flow over fill slopes, and with non-noxious, nonflammable, noncombustible solids.” (Section 8.5 of 2018 Amendment Application).</a:t>
          </a:r>
        </a:p>
        <a:p>
          <a:endParaRPr lang="en-US" sz="1100"/>
        </a:p>
        <a:p>
          <a:r>
            <a:rPr lang="en-US" sz="1100"/>
            <a:t>Without identifying every road segment that may be retained, it will be assumed that the road acreage will be reduced by 50% through reclamation. This can be visualized as reducing the existing road widths in half (to ~50 ft). Like</a:t>
          </a:r>
          <a:r>
            <a:rPr lang="en-US" sz="1100" baseline="0"/>
            <a:t> other misc. disturbance acres, i</a:t>
          </a:r>
          <a:r>
            <a:rPr lang="en-US" sz="1100"/>
            <a:t>t is assumed that half of the</a:t>
          </a:r>
          <a:r>
            <a:rPr lang="en-US" sz="1100" baseline="0"/>
            <a:t> reclaimed road acreage will need to be corrected for slope area.</a:t>
          </a:r>
        </a:p>
      </xdr:txBody>
    </xdr:sp>
    <xdr:clientData/>
  </xdr:twoCellAnchor>
  <xdr:twoCellAnchor>
    <xdr:from>
      <xdr:col>0</xdr:col>
      <xdr:colOff>204107</xdr:colOff>
      <xdr:row>95</xdr:row>
      <xdr:rowOff>122463</xdr:rowOff>
    </xdr:from>
    <xdr:to>
      <xdr:col>2</xdr:col>
      <xdr:colOff>2149928</xdr:colOff>
      <xdr:row>98</xdr:row>
      <xdr:rowOff>190500</xdr:rowOff>
    </xdr:to>
    <xdr:sp macro="" textlink="">
      <xdr:nvSpPr>
        <xdr:cNvPr id="5" name="TextBox 4">
          <a:extLst>
            <a:ext uri="{FF2B5EF4-FFF2-40B4-BE49-F238E27FC236}">
              <a16:creationId xmlns:a16="http://schemas.microsoft.com/office/drawing/2014/main" id="{7EBC0DBD-BD4F-4E36-B9AB-7AB571BA1CA3}"/>
            </a:ext>
          </a:extLst>
        </xdr:cNvPr>
        <xdr:cNvSpPr txBox="1"/>
      </xdr:nvSpPr>
      <xdr:spPr>
        <a:xfrm>
          <a:off x="204107" y="18396856"/>
          <a:ext cx="6327321" cy="66675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Much of</a:t>
          </a:r>
          <a:r>
            <a:rPr lang="en-US" sz="1100" baseline="0"/>
            <a:t> this area is relatively flat and currently vegetated. Remnants of historic structures exist, the area has little active mine disturbance. Portions of this area may be excavated as part of removing reclamation material from the Central Zone alluvium. Following alluvium removal, only revegetation would be needed.</a:t>
          </a:r>
          <a:endParaRPr lang="en-US" sz="1100"/>
        </a:p>
      </xdr:txBody>
    </xdr:sp>
    <xdr:clientData/>
  </xdr:twoCellAnchor>
  <xdr:twoCellAnchor>
    <xdr:from>
      <xdr:col>0</xdr:col>
      <xdr:colOff>212911</xdr:colOff>
      <xdr:row>118</xdr:row>
      <xdr:rowOff>89647</xdr:rowOff>
    </xdr:from>
    <xdr:to>
      <xdr:col>2</xdr:col>
      <xdr:colOff>2196353</xdr:colOff>
      <xdr:row>123</xdr:row>
      <xdr:rowOff>33618</xdr:rowOff>
    </xdr:to>
    <xdr:sp macro="" textlink="">
      <xdr:nvSpPr>
        <xdr:cNvPr id="6" name="TextBox 5">
          <a:extLst>
            <a:ext uri="{FF2B5EF4-FFF2-40B4-BE49-F238E27FC236}">
              <a16:creationId xmlns:a16="http://schemas.microsoft.com/office/drawing/2014/main" id="{485E747A-54AD-4139-B7D3-55280C2777BA}"/>
            </a:ext>
          </a:extLst>
        </xdr:cNvPr>
        <xdr:cNvSpPr txBox="1"/>
      </xdr:nvSpPr>
      <xdr:spPr>
        <a:xfrm>
          <a:off x="212911" y="22008353"/>
          <a:ext cx="6364942" cy="9525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 areas consist of previously</a:t>
          </a:r>
          <a:r>
            <a:rPr lang="en-US" sz="1100" baseline="0"/>
            <a:t> </a:t>
          </a:r>
          <a:r>
            <a:rPr lang="en-US" sz="1100"/>
            <a:t>reclaimed and revegetated surfaces located to the west of the Hillcrest Dump (near Fickler Oil) and to the east of the Continental Pit, along an old access road/powerline corridor.</a:t>
          </a:r>
        </a:p>
        <a:p>
          <a:r>
            <a:rPr lang="en-US" sz="1100"/>
            <a:t>Although</a:t>
          </a:r>
          <a:r>
            <a:rPr lang="en-US" sz="1100" baseline="0"/>
            <a:t> these areas have been vegetated for years, no bond release has been requested for these acres. The standard cost for revegetation and weed control will be applied to these areas.</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8</xdr:col>
      <xdr:colOff>462943</xdr:colOff>
      <xdr:row>35</xdr:row>
      <xdr:rowOff>78092</xdr:rowOff>
    </xdr:from>
    <xdr:ext cx="2914386" cy="4110378"/>
    <xdr:pic>
      <xdr:nvPicPr>
        <xdr:cNvPr id="2" name="Picture 1">
          <a:extLst>
            <a:ext uri="{FF2B5EF4-FFF2-40B4-BE49-F238E27FC236}">
              <a16:creationId xmlns:a16="http://schemas.microsoft.com/office/drawing/2014/main" id="{89C20120-BC41-4C69-A1FF-576AC1A9D01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923384" y="6599916"/>
          <a:ext cx="2914386" cy="4110378"/>
        </a:xfrm>
        <a:prstGeom prst="rect">
          <a:avLst/>
        </a:prstGeom>
        <a:ln>
          <a:solidFill>
            <a:sysClr val="windowText" lastClr="000000"/>
          </a:solidFill>
        </a:ln>
      </xdr:spPr>
    </xdr:pic>
    <xdr:clientData/>
  </xdr:oneCellAnchor>
  <xdr:oneCellAnchor>
    <xdr:from>
      <xdr:col>14</xdr:col>
      <xdr:colOff>70116</xdr:colOff>
      <xdr:row>36</xdr:row>
      <xdr:rowOff>11413</xdr:rowOff>
    </xdr:from>
    <xdr:ext cx="3119674" cy="3712365"/>
    <xdr:pic>
      <xdr:nvPicPr>
        <xdr:cNvPr id="3" name="Picture 2">
          <a:extLst>
            <a:ext uri="{FF2B5EF4-FFF2-40B4-BE49-F238E27FC236}">
              <a16:creationId xmlns:a16="http://schemas.microsoft.com/office/drawing/2014/main" id="{C0840403-D778-4AF6-BEF8-06A1FCE47F4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604516" y="6678913"/>
          <a:ext cx="3119674" cy="3712365"/>
        </a:xfrm>
        <a:prstGeom prst="rect">
          <a:avLst/>
        </a:prstGeom>
        <a:ln>
          <a:solidFill>
            <a:sysClr val="windowText" lastClr="000000"/>
          </a:solidFill>
        </a:ln>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L61"/>
  <sheetViews>
    <sheetView zoomScaleNormal="100" workbookViewId="0">
      <selection activeCell="M27" sqref="M27"/>
    </sheetView>
  </sheetViews>
  <sheetFormatPr defaultRowHeight="14.5" x14ac:dyDescent="0.35"/>
  <cols>
    <col min="1" max="1" width="9.453125" style="291" customWidth="1"/>
    <col min="2" max="7" width="8.81640625" style="291"/>
    <col min="8" max="8" width="22.453125" style="291" customWidth="1"/>
    <col min="9" max="9" width="5.1796875" style="291" customWidth="1"/>
    <col min="10" max="10" width="20" style="291" customWidth="1"/>
    <col min="11" max="11" width="10.7265625" style="291" customWidth="1"/>
    <col min="12" max="12" width="9" customWidth="1"/>
    <col min="13" max="13" width="16.7265625" bestFit="1" customWidth="1"/>
  </cols>
  <sheetData>
    <row r="1" spans="1:11" x14ac:dyDescent="0.35">
      <c r="A1" s="559" t="s">
        <v>0</v>
      </c>
      <c r="B1" s="560"/>
      <c r="C1" s="560"/>
      <c r="D1" s="560"/>
      <c r="E1" s="560"/>
      <c r="F1" s="560"/>
      <c r="G1" s="560"/>
      <c r="H1" s="560"/>
      <c r="I1" s="560"/>
      <c r="J1" s="560"/>
      <c r="K1" s="561"/>
    </row>
    <row r="2" spans="1:11" x14ac:dyDescent="0.35">
      <c r="A2" s="562" t="s">
        <v>1</v>
      </c>
      <c r="B2" s="563"/>
      <c r="C2" s="563"/>
      <c r="D2" s="563"/>
      <c r="E2" s="563"/>
      <c r="F2" s="563"/>
      <c r="G2" s="563"/>
      <c r="H2" s="563"/>
      <c r="I2" s="563"/>
      <c r="J2" s="563"/>
      <c r="K2" s="564"/>
    </row>
    <row r="3" spans="1:11" x14ac:dyDescent="0.35">
      <c r="A3" s="562" t="s">
        <v>971</v>
      </c>
      <c r="B3" s="563"/>
      <c r="C3" s="563"/>
      <c r="D3" s="563"/>
      <c r="E3" s="563"/>
      <c r="F3" s="563"/>
      <c r="G3" s="563"/>
      <c r="H3" s="563"/>
      <c r="I3" s="563"/>
      <c r="J3" s="563"/>
      <c r="K3" s="564"/>
    </row>
    <row r="4" spans="1:11" x14ac:dyDescent="0.35">
      <c r="A4" s="565" t="s">
        <v>1546</v>
      </c>
      <c r="B4" s="563"/>
      <c r="C4" s="563"/>
      <c r="D4" s="563"/>
      <c r="E4" s="563"/>
      <c r="F4" s="563"/>
      <c r="G4" s="563"/>
      <c r="H4" s="563"/>
      <c r="I4" s="563"/>
      <c r="J4" s="563"/>
      <c r="K4" s="564"/>
    </row>
    <row r="5" spans="1:11" ht="21" x14ac:dyDescent="0.5">
      <c r="A5" s="566"/>
      <c r="B5" s="563"/>
      <c r="C5" s="563"/>
      <c r="D5" s="563"/>
      <c r="E5" s="563"/>
      <c r="F5" s="563"/>
      <c r="G5" s="563"/>
      <c r="H5" s="567" t="s">
        <v>1547</v>
      </c>
      <c r="I5" s="563"/>
      <c r="J5" s="563"/>
      <c r="K5" s="564"/>
    </row>
    <row r="6" spans="1:11" ht="16" x14ac:dyDescent="0.5">
      <c r="A6" s="562" t="s">
        <v>279</v>
      </c>
      <c r="B6" s="563"/>
      <c r="C6" s="563"/>
      <c r="D6" s="563"/>
      <c r="E6" s="563"/>
      <c r="F6" s="563"/>
      <c r="G6" s="563"/>
      <c r="H6" s="568" t="s">
        <v>985</v>
      </c>
      <c r="I6" s="569"/>
      <c r="J6" s="570" t="s">
        <v>986</v>
      </c>
      <c r="K6" s="564"/>
    </row>
    <row r="7" spans="1:11" x14ac:dyDescent="0.35">
      <c r="A7" s="566"/>
      <c r="B7" s="563" t="s">
        <v>654</v>
      </c>
      <c r="C7" s="563"/>
      <c r="D7" s="563"/>
      <c r="E7" s="563"/>
      <c r="F7" s="563"/>
      <c r="G7" s="563"/>
      <c r="H7" s="571">
        <f>'ITEM 1 YDTI Embankment Closure'!E19</f>
        <v>12876808.911728244</v>
      </c>
      <c r="I7" s="571"/>
      <c r="J7" s="571">
        <f>'ITEM 1 YDTI Embankment Closure'!E20</f>
        <v>213000</v>
      </c>
      <c r="K7" s="564"/>
    </row>
    <row r="8" spans="1:11" x14ac:dyDescent="0.35">
      <c r="A8" s="566"/>
      <c r="B8" s="563"/>
      <c r="C8" s="563"/>
      <c r="D8" s="563"/>
      <c r="E8" s="563"/>
      <c r="F8" s="563"/>
      <c r="G8" s="563"/>
      <c r="H8" s="571"/>
      <c r="I8" s="571"/>
      <c r="J8" s="571"/>
      <c r="K8" s="564"/>
    </row>
    <row r="9" spans="1:11" x14ac:dyDescent="0.35">
      <c r="A9" s="566"/>
      <c r="B9" s="563" t="s">
        <v>653</v>
      </c>
      <c r="C9" s="563"/>
      <c r="D9" s="563"/>
      <c r="E9" s="563"/>
      <c r="F9" s="563"/>
      <c r="G9" s="563"/>
      <c r="H9" s="571">
        <f>'ITEM 2 YDTI Beach Closure'!E21</f>
        <v>20399956.25608629</v>
      </c>
      <c r="I9" s="571"/>
      <c r="J9" s="571">
        <f>'ITEM 2 YDTI Beach Closure'!E22</f>
        <v>239000</v>
      </c>
      <c r="K9" s="564"/>
    </row>
    <row r="10" spans="1:11" x14ac:dyDescent="0.35">
      <c r="A10" s="572"/>
      <c r="B10" s="573"/>
      <c r="C10" s="573"/>
      <c r="D10" s="573"/>
      <c r="E10" s="573"/>
      <c r="F10" s="573"/>
      <c r="G10" s="573"/>
      <c r="H10" s="574"/>
      <c r="I10" s="574"/>
      <c r="J10" s="574"/>
      <c r="K10" s="575"/>
    </row>
    <row r="11" spans="1:11" x14ac:dyDescent="0.35">
      <c r="A11" s="572"/>
      <c r="B11" s="563" t="s">
        <v>1563</v>
      </c>
      <c r="C11" s="573"/>
      <c r="D11" s="573"/>
      <c r="E11" s="573"/>
      <c r="F11" s="573"/>
      <c r="G11" s="573"/>
      <c r="H11" s="577" t="s">
        <v>1564</v>
      </c>
      <c r="I11" s="574"/>
      <c r="J11" s="574"/>
      <c r="K11" s="575"/>
    </row>
    <row r="12" spans="1:11" x14ac:dyDescent="0.35">
      <c r="A12" s="572"/>
      <c r="B12" s="624" t="s">
        <v>1565</v>
      </c>
      <c r="C12" s="573"/>
      <c r="D12" s="573"/>
      <c r="E12" s="573"/>
      <c r="F12" s="573"/>
      <c r="G12" s="573"/>
      <c r="H12" s="574"/>
      <c r="I12" s="574"/>
      <c r="J12" s="574"/>
      <c r="K12" s="575"/>
    </row>
    <row r="13" spans="1:11" x14ac:dyDescent="0.35">
      <c r="A13" s="572"/>
      <c r="B13" s="576"/>
      <c r="C13" s="573"/>
      <c r="D13" s="573"/>
      <c r="E13" s="573"/>
      <c r="F13" s="573"/>
      <c r="G13" s="573"/>
      <c r="H13" s="574"/>
      <c r="I13" s="574"/>
      <c r="J13" s="574"/>
      <c r="K13" s="575"/>
    </row>
    <row r="14" spans="1:11" x14ac:dyDescent="0.35">
      <c r="A14" s="566"/>
      <c r="B14" s="563" t="s">
        <v>1220</v>
      </c>
      <c r="C14" s="563"/>
      <c r="D14" s="563"/>
      <c r="E14" s="563"/>
      <c r="F14" s="563"/>
      <c r="G14" s="563"/>
      <c r="H14" s="571">
        <f>'ITEM 3 Exploration'!G12</f>
        <v>28465</v>
      </c>
      <c r="I14" s="571"/>
      <c r="J14" s="577" t="s">
        <v>698</v>
      </c>
      <c r="K14" s="564"/>
    </row>
    <row r="15" spans="1:11" x14ac:dyDescent="0.35">
      <c r="A15" s="566"/>
      <c r="B15" s="563"/>
      <c r="C15" s="563"/>
      <c r="D15" s="563"/>
      <c r="E15" s="563"/>
      <c r="F15" s="563"/>
      <c r="G15" s="563"/>
      <c r="H15" s="571"/>
      <c r="I15" s="571"/>
      <c r="J15" s="577"/>
      <c r="K15" s="564"/>
    </row>
    <row r="16" spans="1:11" x14ac:dyDescent="0.35">
      <c r="A16" s="566"/>
      <c r="B16" s="563" t="s">
        <v>1313</v>
      </c>
      <c r="C16" s="563"/>
      <c r="D16" s="563"/>
      <c r="E16" s="563"/>
      <c r="F16" s="563"/>
      <c r="G16" s="563"/>
      <c r="H16" s="571">
        <f>'ITEM 6 Interim Management'!E48</f>
        <v>1068730.4000000001</v>
      </c>
      <c r="I16" s="571"/>
      <c r="J16" s="577" t="s">
        <v>698</v>
      </c>
      <c r="K16" s="564"/>
    </row>
    <row r="17" spans="1:11" x14ac:dyDescent="0.35">
      <c r="A17" s="566"/>
      <c r="B17" s="563"/>
      <c r="C17" s="563"/>
      <c r="D17" s="563"/>
      <c r="E17" s="563"/>
      <c r="F17" s="563"/>
      <c r="G17" s="563"/>
      <c r="H17" s="571"/>
      <c r="I17" s="571"/>
      <c r="J17" s="571"/>
      <c r="K17" s="564"/>
    </row>
    <row r="18" spans="1:11" x14ac:dyDescent="0.35">
      <c r="A18" s="566"/>
      <c r="B18" s="563" t="s">
        <v>1417</v>
      </c>
      <c r="C18" s="563"/>
      <c r="D18" s="563"/>
      <c r="E18" s="563"/>
      <c r="F18" s="563"/>
      <c r="G18" s="563"/>
      <c r="H18" s="571">
        <f>'ITEM 9 Dump Areas'!E30</f>
        <v>8922476.738935655</v>
      </c>
      <c r="I18" s="563"/>
      <c r="J18" s="571">
        <f>'ITEM 9 Dump Areas'!E31</f>
        <v>78500</v>
      </c>
      <c r="K18" s="564"/>
    </row>
    <row r="19" spans="1:11" x14ac:dyDescent="0.35">
      <c r="A19" s="566"/>
      <c r="B19" s="563"/>
      <c r="C19" s="563"/>
      <c r="D19" s="563"/>
      <c r="E19" s="563"/>
      <c r="F19" s="563"/>
      <c r="G19" s="563"/>
      <c r="H19" s="571"/>
      <c r="I19" s="563"/>
      <c r="J19" s="571"/>
      <c r="K19" s="564"/>
    </row>
    <row r="20" spans="1:11" x14ac:dyDescent="0.35">
      <c r="A20" s="566"/>
      <c r="B20" s="563" t="s">
        <v>1336</v>
      </c>
      <c r="C20" s="563"/>
      <c r="D20" s="563"/>
      <c r="E20" s="563"/>
      <c r="F20" s="563"/>
      <c r="G20" s="563"/>
      <c r="H20" s="571">
        <f>'ITEM 10 Leach Pads'!E14</f>
        <v>286816.33523873269</v>
      </c>
      <c r="I20" s="563"/>
      <c r="J20" s="571">
        <f>'ITEM 10 Leach Pads'!E15</f>
        <v>81000</v>
      </c>
      <c r="K20" s="564"/>
    </row>
    <row r="21" spans="1:11" x14ac:dyDescent="0.35">
      <c r="A21" s="566"/>
      <c r="B21" s="563"/>
      <c r="C21" s="563"/>
      <c r="D21" s="563"/>
      <c r="E21" s="563"/>
      <c r="F21" s="563"/>
      <c r="G21" s="563"/>
      <c r="H21" s="571"/>
      <c r="I21" s="563"/>
      <c r="J21" s="571"/>
      <c r="K21" s="564"/>
    </row>
    <row r="22" spans="1:11" x14ac:dyDescent="0.35">
      <c r="A22" s="566"/>
      <c r="B22" s="563" t="s">
        <v>1349</v>
      </c>
      <c r="C22" s="563"/>
      <c r="D22" s="563"/>
      <c r="E22" s="563"/>
      <c r="F22" s="563"/>
      <c r="G22" s="563"/>
      <c r="H22" s="571">
        <f>'ITEM 11 Pit'!E17</f>
        <v>5220322.1673129369</v>
      </c>
      <c r="I22" s="563"/>
      <c r="J22" s="571">
        <f>'ITEM 11 Pit'!E18</f>
        <v>29500</v>
      </c>
      <c r="K22" s="564"/>
    </row>
    <row r="23" spans="1:11" x14ac:dyDescent="0.35">
      <c r="A23" s="566"/>
      <c r="B23" s="563"/>
      <c r="C23" s="563"/>
      <c r="D23" s="563"/>
      <c r="E23" s="563"/>
      <c r="F23" s="563"/>
      <c r="G23" s="563"/>
      <c r="H23" s="571"/>
      <c r="I23" s="563"/>
      <c r="J23" s="571"/>
      <c r="K23" s="564"/>
    </row>
    <row r="24" spans="1:11" x14ac:dyDescent="0.35">
      <c r="A24" s="566"/>
      <c r="B24" s="563" t="s">
        <v>1341</v>
      </c>
      <c r="C24" s="563"/>
      <c r="D24" s="563"/>
      <c r="E24" s="563"/>
      <c r="F24" s="563"/>
      <c r="G24" s="563"/>
      <c r="H24" s="571"/>
      <c r="I24" s="571" t="s">
        <v>1342</v>
      </c>
      <c r="J24" s="573"/>
      <c r="K24" s="564"/>
    </row>
    <row r="25" spans="1:11" x14ac:dyDescent="0.35">
      <c r="A25" s="566"/>
      <c r="B25" s="578"/>
      <c r="C25" s="563"/>
      <c r="D25" s="563"/>
      <c r="E25" s="563"/>
      <c r="F25" s="563"/>
      <c r="G25" s="563"/>
      <c r="H25" s="571"/>
      <c r="I25" s="563"/>
      <c r="J25" s="571"/>
      <c r="K25" s="564"/>
    </row>
    <row r="26" spans="1:11" x14ac:dyDescent="0.35">
      <c r="A26" s="566"/>
      <c r="B26" s="563" t="s">
        <v>1412</v>
      </c>
      <c r="C26" s="563"/>
      <c r="D26" s="563"/>
      <c r="E26" s="563"/>
      <c r="F26" s="563"/>
      <c r="G26" s="563"/>
      <c r="H26" s="571">
        <f>'ITEM 13 Miscellaneous'!D32</f>
        <v>8342952.7717944402</v>
      </c>
      <c r="I26" s="563"/>
      <c r="J26" s="571">
        <f>'ITEM 13 Miscellaneous'!D33</f>
        <v>185500</v>
      </c>
      <c r="K26" s="564"/>
    </row>
    <row r="27" spans="1:11" x14ac:dyDescent="0.35">
      <c r="A27" s="566"/>
      <c r="B27" s="578"/>
      <c r="C27" s="563"/>
      <c r="D27" s="563"/>
      <c r="E27" s="563"/>
      <c r="F27" s="563"/>
      <c r="G27" s="563"/>
      <c r="H27" s="571"/>
      <c r="I27" s="563"/>
      <c r="J27" s="571"/>
      <c r="K27" s="564"/>
    </row>
    <row r="28" spans="1:11" x14ac:dyDescent="0.35">
      <c r="A28" s="566"/>
      <c r="B28" s="563" t="s">
        <v>1339</v>
      </c>
      <c r="C28" s="563"/>
      <c r="D28" s="563"/>
      <c r="E28" s="563"/>
      <c r="F28" s="563"/>
      <c r="G28" s="563"/>
      <c r="H28" s="579">
        <f>'ITEM 14 Clearwater Ditch'!C37</f>
        <v>57720</v>
      </c>
      <c r="I28" s="563"/>
      <c r="J28" s="579"/>
      <c r="K28" s="564"/>
    </row>
    <row r="29" spans="1:11" x14ac:dyDescent="0.35">
      <c r="A29" s="566"/>
      <c r="B29" s="578"/>
      <c r="C29" s="563"/>
      <c r="D29" s="563"/>
      <c r="E29" s="563"/>
      <c r="F29" s="563" t="s">
        <v>673</v>
      </c>
      <c r="G29" s="563"/>
      <c r="H29" s="571">
        <f>SUM(H7:H28)</f>
        <v>57204248.581096299</v>
      </c>
      <c r="I29" s="563"/>
      <c r="J29" s="571">
        <f>SUM(J7:J28)</f>
        <v>826500</v>
      </c>
      <c r="K29" s="564"/>
    </row>
    <row r="30" spans="1:11" x14ac:dyDescent="0.35">
      <c r="A30" s="566"/>
      <c r="B30" s="563"/>
      <c r="C30" s="563"/>
      <c r="D30" s="563"/>
      <c r="E30" s="563"/>
      <c r="F30" s="563"/>
      <c r="G30" s="563"/>
      <c r="H30" s="563"/>
      <c r="I30" s="563"/>
      <c r="J30" s="563"/>
      <c r="K30" s="564"/>
    </row>
    <row r="31" spans="1:11" x14ac:dyDescent="0.35">
      <c r="A31" s="562" t="s">
        <v>972</v>
      </c>
      <c r="B31" s="563"/>
      <c r="C31" s="563"/>
      <c r="D31" s="563"/>
      <c r="E31" s="563"/>
      <c r="F31" s="563"/>
      <c r="G31" s="580"/>
      <c r="H31" s="580"/>
      <c r="I31" s="580"/>
      <c r="J31" s="571"/>
      <c r="K31" s="564"/>
    </row>
    <row r="32" spans="1:11" x14ac:dyDescent="0.35">
      <c r="A32" s="566"/>
      <c r="B32" s="563" t="s">
        <v>667</v>
      </c>
      <c r="C32" s="563"/>
      <c r="D32" s="563"/>
      <c r="E32" s="563"/>
      <c r="F32" s="563"/>
      <c r="G32" s="581">
        <v>0.04</v>
      </c>
      <c r="H32" s="582">
        <f>$H$29*G32</f>
        <v>2288169.9432438519</v>
      </c>
      <c r="I32" s="563"/>
      <c r="J32" s="583" t="s">
        <v>668</v>
      </c>
      <c r="K32" s="564"/>
    </row>
    <row r="33" spans="1:11" x14ac:dyDescent="0.35">
      <c r="A33" s="566"/>
      <c r="B33" s="563" t="s">
        <v>669</v>
      </c>
      <c r="C33" s="563"/>
      <c r="D33" s="563"/>
      <c r="E33" s="563"/>
      <c r="F33" s="563"/>
      <c r="G33" s="581">
        <v>0.05</v>
      </c>
      <c r="H33" s="582">
        <f>$H$29*G33</f>
        <v>2860212.4290548153</v>
      </c>
      <c r="I33" s="563"/>
      <c r="J33" s="583" t="s">
        <v>668</v>
      </c>
      <c r="K33" s="564"/>
    </row>
    <row r="34" spans="1:11" x14ac:dyDescent="0.35">
      <c r="A34" s="566"/>
      <c r="B34" s="563" t="s">
        <v>670</v>
      </c>
      <c r="C34" s="563"/>
      <c r="D34" s="563"/>
      <c r="E34" s="563"/>
      <c r="F34" s="563"/>
      <c r="G34" s="581">
        <v>0.1</v>
      </c>
      <c r="H34" s="582">
        <f>$H$29*G34</f>
        <v>5720424.8581096306</v>
      </c>
      <c r="I34" s="563"/>
      <c r="J34" s="583" t="s">
        <v>668</v>
      </c>
      <c r="K34" s="564"/>
    </row>
    <row r="35" spans="1:11" x14ac:dyDescent="0.35">
      <c r="A35" s="566"/>
      <c r="B35" s="563" t="s">
        <v>671</v>
      </c>
      <c r="C35" s="563"/>
      <c r="D35" s="563"/>
      <c r="E35" s="563"/>
      <c r="F35" s="563"/>
      <c r="G35" s="581">
        <v>0.1</v>
      </c>
      <c r="H35" s="582">
        <f>$H$29*G35</f>
        <v>5720424.8581096306</v>
      </c>
      <c r="I35" s="563"/>
      <c r="J35" s="583" t="s">
        <v>668</v>
      </c>
      <c r="K35" s="564"/>
    </row>
    <row r="36" spans="1:11" ht="16" x14ac:dyDescent="0.5">
      <c r="A36" s="566"/>
      <c r="B36" s="563" t="s">
        <v>672</v>
      </c>
      <c r="C36" s="563"/>
      <c r="D36" s="563"/>
      <c r="E36" s="563"/>
      <c r="F36" s="563"/>
      <c r="G36" s="581">
        <v>0.104</v>
      </c>
      <c r="H36" s="584">
        <f>$H$29*G36</f>
        <v>5949241.8524340149</v>
      </c>
      <c r="I36" s="563"/>
      <c r="J36" s="585" t="s">
        <v>668</v>
      </c>
      <c r="K36" s="564"/>
    </row>
    <row r="37" spans="1:11" x14ac:dyDescent="0.35">
      <c r="A37" s="566"/>
      <c r="B37" s="563"/>
      <c r="C37" s="563"/>
      <c r="D37" s="563"/>
      <c r="E37" s="563"/>
      <c r="F37" s="563" t="s">
        <v>673</v>
      </c>
      <c r="G37" s="563"/>
      <c r="H37" s="571">
        <f>SUM(H32:H36)</f>
        <v>22538473.940951943</v>
      </c>
      <c r="I37" s="571"/>
      <c r="J37" s="577" t="s">
        <v>698</v>
      </c>
      <c r="K37" s="564"/>
    </row>
    <row r="38" spans="1:11" x14ac:dyDescent="0.35">
      <c r="A38" s="566"/>
      <c r="B38" s="563"/>
      <c r="C38" s="563"/>
      <c r="D38" s="563"/>
      <c r="E38" s="563"/>
      <c r="F38" s="563"/>
      <c r="G38" s="563"/>
      <c r="H38" s="571"/>
      <c r="I38" s="571"/>
      <c r="J38" s="571"/>
      <c r="K38" s="564"/>
    </row>
    <row r="39" spans="1:11" x14ac:dyDescent="0.35">
      <c r="A39" s="562" t="s">
        <v>973</v>
      </c>
      <c r="B39" s="563"/>
      <c r="C39" s="563"/>
      <c r="D39" s="563"/>
      <c r="E39" s="563"/>
      <c r="F39" s="563"/>
      <c r="G39" s="563"/>
      <c r="H39" s="571"/>
      <c r="I39" s="571"/>
      <c r="J39" s="571"/>
      <c r="K39" s="564"/>
    </row>
    <row r="40" spans="1:11" x14ac:dyDescent="0.35">
      <c r="A40" s="566"/>
      <c r="B40" s="563" t="s">
        <v>1236</v>
      </c>
      <c r="C40" s="563"/>
      <c r="D40" s="563"/>
      <c r="E40" s="563"/>
      <c r="F40" s="563"/>
      <c r="G40" s="563"/>
      <c r="H40" s="577" t="s">
        <v>698</v>
      </c>
      <c r="I40" s="571" t="s">
        <v>1235</v>
      </c>
      <c r="J40" s="571"/>
      <c r="K40" s="564"/>
    </row>
    <row r="41" spans="1:11" x14ac:dyDescent="0.35">
      <c r="A41" s="566"/>
      <c r="B41" s="563"/>
      <c r="C41" s="563"/>
      <c r="D41" s="563"/>
      <c r="E41" s="563"/>
      <c r="F41" s="563"/>
      <c r="G41" s="563"/>
      <c r="H41" s="571"/>
      <c r="I41" s="571"/>
      <c r="J41" s="571"/>
      <c r="K41" s="564"/>
    </row>
    <row r="42" spans="1:11" x14ac:dyDescent="0.35">
      <c r="A42" s="566"/>
      <c r="B42" s="563" t="s">
        <v>1311</v>
      </c>
      <c r="C42" s="563"/>
      <c r="D42" s="563"/>
      <c r="E42" s="563"/>
      <c r="F42" s="563"/>
      <c r="G42" s="563"/>
      <c r="H42" s="571">
        <f>'ITEM 5 Post Closure Reclamation'!G34</f>
        <v>15701235.022976451</v>
      </c>
      <c r="I42" s="571"/>
      <c r="J42" s="571">
        <f>'ITEM 5 Post Closure Reclamation'!G35</f>
        <v>17000</v>
      </c>
      <c r="K42" s="564"/>
    </row>
    <row r="43" spans="1:11" x14ac:dyDescent="0.35">
      <c r="A43" s="566"/>
      <c r="B43" s="563"/>
      <c r="C43" s="563"/>
      <c r="D43" s="563"/>
      <c r="E43" s="563"/>
      <c r="F43" s="563"/>
      <c r="G43" s="563"/>
      <c r="H43" s="571"/>
      <c r="I43" s="571"/>
      <c r="J43" s="571"/>
      <c r="K43" s="564"/>
    </row>
    <row r="44" spans="1:11" x14ac:dyDescent="0.35">
      <c r="A44" s="566"/>
      <c r="B44" s="563" t="s">
        <v>1319</v>
      </c>
      <c r="C44" s="563"/>
      <c r="D44" s="563"/>
      <c r="E44" s="563"/>
      <c r="F44" s="563"/>
      <c r="G44" s="563"/>
      <c r="H44" s="571">
        <f>'ITEM 7 A&amp;E-ClosureMgmt'!F44</f>
        <v>4274921.6000000006</v>
      </c>
      <c r="I44" s="571"/>
      <c r="J44" s="577" t="s">
        <v>698</v>
      </c>
      <c r="K44" s="564"/>
    </row>
    <row r="45" spans="1:11" x14ac:dyDescent="0.35">
      <c r="A45" s="566"/>
      <c r="B45" s="563"/>
      <c r="C45" s="563"/>
      <c r="D45" s="563"/>
      <c r="E45" s="563"/>
      <c r="F45" s="563"/>
      <c r="G45" s="563"/>
      <c r="H45" s="571"/>
      <c r="I45" s="571"/>
      <c r="J45" s="577"/>
      <c r="K45" s="564"/>
    </row>
    <row r="46" spans="1:11" x14ac:dyDescent="0.35">
      <c r="A46" s="566"/>
      <c r="B46" s="563" t="s">
        <v>1321</v>
      </c>
      <c r="C46" s="563"/>
      <c r="D46" s="563"/>
      <c r="E46" s="563"/>
      <c r="F46" s="563"/>
      <c r="G46" s="563"/>
      <c r="H46" s="571">
        <f>'ITEM 8 A&amp;E-PostClosureMgmt'!F80</f>
        <v>11838562.196420617</v>
      </c>
      <c r="I46" s="571"/>
      <c r="J46" s="577" t="s">
        <v>698</v>
      </c>
      <c r="K46" s="564"/>
    </row>
    <row r="47" spans="1:11" x14ac:dyDescent="0.35">
      <c r="A47" s="566"/>
      <c r="B47" s="563"/>
      <c r="C47" s="563"/>
      <c r="D47" s="563"/>
      <c r="E47" s="563"/>
      <c r="F47" s="563"/>
      <c r="G47" s="563"/>
      <c r="H47" s="571"/>
      <c r="I47" s="571"/>
      <c r="J47" s="577"/>
      <c r="K47" s="564"/>
    </row>
    <row r="48" spans="1:11" x14ac:dyDescent="0.35">
      <c r="A48" s="566"/>
      <c r="B48" s="563" t="s">
        <v>1338</v>
      </c>
      <c r="C48" s="563"/>
      <c r="D48" s="563"/>
      <c r="E48" s="563"/>
      <c r="F48" s="586"/>
      <c r="G48" s="586"/>
      <c r="H48" s="579">
        <f>'ITEM 15 Spillway'!D100</f>
        <v>4076559.104350002</v>
      </c>
      <c r="I48" s="563"/>
      <c r="J48" s="587" t="s">
        <v>698</v>
      </c>
      <c r="K48" s="564"/>
    </row>
    <row r="49" spans="1:12" x14ac:dyDescent="0.35">
      <c r="A49" s="566"/>
      <c r="B49" s="563"/>
      <c r="C49" s="563"/>
      <c r="D49" s="563"/>
      <c r="E49" s="563"/>
      <c r="F49" s="563" t="s">
        <v>673</v>
      </c>
      <c r="G49" s="563"/>
      <c r="H49" s="588">
        <f>SUM(H42:H48)</f>
        <v>35891277.92374707</v>
      </c>
      <c r="I49" s="563"/>
      <c r="J49" s="588">
        <f>J42</f>
        <v>17000</v>
      </c>
      <c r="K49" s="564"/>
    </row>
    <row r="50" spans="1:12" x14ac:dyDescent="0.35">
      <c r="A50" s="566"/>
      <c r="B50" s="589"/>
      <c r="C50" s="589"/>
      <c r="D50" s="589"/>
      <c r="E50" s="589"/>
      <c r="F50" s="589"/>
      <c r="G50" s="589"/>
      <c r="H50" s="590"/>
      <c r="I50" s="563"/>
      <c r="J50" s="586"/>
      <c r="K50" s="564"/>
      <c r="L50" s="60"/>
    </row>
    <row r="51" spans="1:12" x14ac:dyDescent="0.35">
      <c r="A51" s="566"/>
      <c r="B51" s="563"/>
      <c r="C51" s="563"/>
      <c r="D51" s="563"/>
      <c r="E51" s="563"/>
      <c r="F51" s="563" t="s">
        <v>83</v>
      </c>
      <c r="G51" s="563"/>
      <c r="H51" s="588">
        <f>H49+H37+H29</f>
        <v>115634000.44579531</v>
      </c>
      <c r="I51" s="563"/>
      <c r="J51" s="588">
        <f>J49+J29</f>
        <v>843500</v>
      </c>
      <c r="K51" s="564" t="s">
        <v>871</v>
      </c>
      <c r="L51" s="60"/>
    </row>
    <row r="52" spans="1:12" x14ac:dyDescent="0.35">
      <c r="A52" s="566"/>
      <c r="B52" s="563"/>
      <c r="C52" s="563"/>
      <c r="D52" s="563"/>
      <c r="E52" s="563"/>
      <c r="F52" s="563"/>
      <c r="G52" s="563"/>
      <c r="H52" s="563"/>
      <c r="I52" s="563"/>
      <c r="J52" s="563"/>
      <c r="K52" s="564"/>
      <c r="L52" s="149"/>
    </row>
    <row r="53" spans="1:12" x14ac:dyDescent="0.35">
      <c r="A53" s="566"/>
      <c r="B53" s="563"/>
      <c r="C53" s="563"/>
      <c r="D53" s="563"/>
      <c r="E53" s="563"/>
      <c r="F53" s="563"/>
      <c r="G53" s="563"/>
      <c r="H53" s="563"/>
      <c r="I53" s="563"/>
      <c r="J53" s="563"/>
      <c r="K53" s="564"/>
    </row>
    <row r="54" spans="1:12" x14ac:dyDescent="0.35">
      <c r="A54" s="578" t="s">
        <v>877</v>
      </c>
      <c r="B54" s="563"/>
      <c r="C54" s="563"/>
      <c r="D54" s="563"/>
      <c r="E54" s="563"/>
      <c r="F54" s="563"/>
      <c r="G54" s="563"/>
      <c r="H54" s="563"/>
      <c r="I54" s="563"/>
      <c r="J54" s="591">
        <f>H51+J51</f>
        <v>116477500.44579531</v>
      </c>
      <c r="K54" s="564"/>
    </row>
    <row r="55" spans="1:12" x14ac:dyDescent="0.35">
      <c r="A55" s="566"/>
      <c r="B55" s="563"/>
      <c r="C55" s="563"/>
      <c r="D55" s="563"/>
      <c r="E55" s="563"/>
      <c r="F55" s="563"/>
      <c r="G55" s="563" t="s">
        <v>876</v>
      </c>
      <c r="H55" s="563"/>
      <c r="I55" s="563"/>
      <c r="J55" s="604">
        <v>114602575</v>
      </c>
      <c r="K55" s="564"/>
    </row>
    <row r="56" spans="1:12" x14ac:dyDescent="0.35">
      <c r="A56" s="566"/>
      <c r="B56" s="563"/>
      <c r="C56" s="563"/>
      <c r="D56" s="563"/>
      <c r="E56" s="563"/>
      <c r="F56" s="563"/>
      <c r="G56" s="563" t="s">
        <v>974</v>
      </c>
      <c r="H56" s="563"/>
      <c r="I56" s="563"/>
      <c r="J56" s="591">
        <f>J54-J55</f>
        <v>1874925.4457953125</v>
      </c>
      <c r="K56" s="564"/>
    </row>
    <row r="57" spans="1:12" x14ac:dyDescent="0.35">
      <c r="A57" s="566"/>
      <c r="B57" s="563"/>
      <c r="C57" s="563"/>
      <c r="D57" s="563"/>
      <c r="E57" s="563"/>
      <c r="F57" s="563"/>
      <c r="G57" s="563"/>
      <c r="H57" s="563"/>
      <c r="I57" s="563"/>
      <c r="J57" s="563"/>
      <c r="K57" s="564"/>
      <c r="L57" s="149"/>
    </row>
    <row r="58" spans="1:12" x14ac:dyDescent="0.35">
      <c r="A58" s="566"/>
      <c r="B58" s="563"/>
      <c r="C58" s="563"/>
      <c r="D58" s="578"/>
      <c r="E58" s="578"/>
      <c r="F58" s="578"/>
      <c r="G58" s="578"/>
      <c r="H58" s="578"/>
      <c r="I58" s="578"/>
      <c r="J58" s="563"/>
      <c r="K58" s="564"/>
      <c r="L58" s="149"/>
    </row>
    <row r="59" spans="1:12" x14ac:dyDescent="0.35">
      <c r="A59" s="592"/>
      <c r="B59" s="586"/>
      <c r="C59" s="586"/>
      <c r="D59" s="586"/>
      <c r="E59" s="586"/>
      <c r="F59" s="586"/>
      <c r="G59" s="586"/>
      <c r="H59" s="586"/>
      <c r="I59" s="586"/>
      <c r="J59" s="586"/>
      <c r="K59" s="593"/>
      <c r="L59" s="60"/>
    </row>
    <row r="60" spans="1:12" x14ac:dyDescent="0.35">
      <c r="L60" s="60"/>
    </row>
    <row r="61" spans="1:12" x14ac:dyDescent="0.35">
      <c r="L61" s="26"/>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L87"/>
  <sheetViews>
    <sheetView zoomScale="85" zoomScaleNormal="85" workbookViewId="0">
      <selection activeCell="I42" sqref="I42"/>
    </sheetView>
  </sheetViews>
  <sheetFormatPr defaultRowHeight="14.5" x14ac:dyDescent="0.35"/>
  <cols>
    <col min="1" max="1" width="16" customWidth="1"/>
    <col min="2" max="2" width="14.81640625" customWidth="1"/>
    <col min="3" max="3" width="12.26953125" customWidth="1"/>
    <col min="4" max="4" width="14.453125" customWidth="1"/>
    <col min="5" max="5" width="16.453125" customWidth="1"/>
    <col min="6" max="6" width="17.54296875" customWidth="1"/>
    <col min="7" max="7" width="14.26953125" customWidth="1"/>
    <col min="8" max="9" width="8.81640625" bestFit="1" customWidth="1"/>
    <col min="10" max="10" width="9" bestFit="1" customWidth="1"/>
  </cols>
  <sheetData>
    <row r="1" spans="1:3" x14ac:dyDescent="0.35">
      <c r="A1" s="307" t="s">
        <v>0</v>
      </c>
    </row>
    <row r="2" spans="1:3" x14ac:dyDescent="0.35">
      <c r="A2" s="308" t="s">
        <v>1</v>
      </c>
    </row>
    <row r="3" spans="1:3" x14ac:dyDescent="0.35">
      <c r="A3" s="308" t="s">
        <v>971</v>
      </c>
    </row>
    <row r="4" spans="1:3" x14ac:dyDescent="0.35">
      <c r="A4" s="309" t="s">
        <v>1546</v>
      </c>
    </row>
    <row r="6" spans="1:3" ht="18.5" x14ac:dyDescent="0.45">
      <c r="A6" s="125" t="s">
        <v>1313</v>
      </c>
      <c r="B6" s="95"/>
      <c r="C6" s="95"/>
    </row>
    <row r="7" spans="1:3" x14ac:dyDescent="0.35">
      <c r="A7" t="s">
        <v>160</v>
      </c>
    </row>
    <row r="8" spans="1:3" x14ac:dyDescent="0.35">
      <c r="A8" t="s">
        <v>1029</v>
      </c>
    </row>
    <row r="9" spans="1:3" x14ac:dyDescent="0.35">
      <c r="A9" t="s">
        <v>1030</v>
      </c>
    </row>
    <row r="10" spans="1:3" x14ac:dyDescent="0.35">
      <c r="A10" t="s">
        <v>660</v>
      </c>
    </row>
    <row r="11" spans="1:3" x14ac:dyDescent="0.35">
      <c r="A11" s="61" t="s">
        <v>636</v>
      </c>
    </row>
    <row r="12" spans="1:3" x14ac:dyDescent="0.35">
      <c r="A12" t="s">
        <v>661</v>
      </c>
    </row>
    <row r="13" spans="1:3" x14ac:dyDescent="0.35">
      <c r="A13" t="s">
        <v>1316</v>
      </c>
    </row>
    <row r="14" spans="1:3" x14ac:dyDescent="0.35">
      <c r="A14" t="s">
        <v>1315</v>
      </c>
    </row>
    <row r="15" spans="1:3" x14ac:dyDescent="0.35">
      <c r="A15" t="s">
        <v>1317</v>
      </c>
    </row>
    <row r="16" spans="1:3" x14ac:dyDescent="0.35">
      <c r="A16" t="s">
        <v>1314</v>
      </c>
    </row>
    <row r="18" spans="1:5" x14ac:dyDescent="0.35">
      <c r="A18" t="s">
        <v>656</v>
      </c>
    </row>
    <row r="19" spans="1:5" x14ac:dyDescent="0.35">
      <c r="A19" t="s">
        <v>634</v>
      </c>
    </row>
    <row r="20" spans="1:5" x14ac:dyDescent="0.35">
      <c r="A20" t="s">
        <v>629</v>
      </c>
    </row>
    <row r="21" spans="1:5" x14ac:dyDescent="0.35">
      <c r="D21" t="s">
        <v>633</v>
      </c>
      <c r="E21" t="s">
        <v>612</v>
      </c>
    </row>
    <row r="22" spans="1:5" x14ac:dyDescent="0.35">
      <c r="A22" s="1"/>
      <c r="B22" t="s">
        <v>630</v>
      </c>
      <c r="D22" s="200">
        <f>Inputs!$E$302</f>
        <v>160.435</v>
      </c>
      <c r="E22" s="94">
        <f t="shared" ref="E22:E27" si="0">D22*2080</f>
        <v>333704.8</v>
      </c>
    </row>
    <row r="23" spans="1:5" x14ac:dyDescent="0.35">
      <c r="A23" s="1"/>
      <c r="B23" t="s">
        <v>614</v>
      </c>
      <c r="D23" s="200">
        <f>Inputs!$E$303</f>
        <v>138.73500000000001</v>
      </c>
      <c r="E23" s="94">
        <f t="shared" si="0"/>
        <v>288568.80000000005</v>
      </c>
    </row>
    <row r="24" spans="1:5" x14ac:dyDescent="0.35">
      <c r="A24" s="1"/>
      <c r="B24" t="s">
        <v>615</v>
      </c>
      <c r="D24" s="200">
        <f>Inputs!$E$308</f>
        <v>40</v>
      </c>
      <c r="E24" s="94">
        <f t="shared" si="0"/>
        <v>83200</v>
      </c>
    </row>
    <row r="25" spans="1:5" x14ac:dyDescent="0.35">
      <c r="A25" s="1"/>
      <c r="B25" t="s">
        <v>616</v>
      </c>
      <c r="D25" s="200">
        <f>Inputs!$E$304</f>
        <v>71.552500000000009</v>
      </c>
      <c r="E25" s="94">
        <f t="shared" si="0"/>
        <v>148829.20000000001</v>
      </c>
    </row>
    <row r="26" spans="1:5" x14ac:dyDescent="0.35">
      <c r="A26" s="1"/>
      <c r="B26" t="s">
        <v>631</v>
      </c>
      <c r="D26" s="200">
        <f>Inputs!$E$307*2</f>
        <v>124</v>
      </c>
      <c r="E26" s="94">
        <f t="shared" si="0"/>
        <v>257920</v>
      </c>
    </row>
    <row r="27" spans="1:5" x14ac:dyDescent="0.35">
      <c r="A27" s="1"/>
      <c r="B27" s="198" t="s">
        <v>618</v>
      </c>
      <c r="D27" s="200">
        <f>Inputs!$E$306</f>
        <v>46</v>
      </c>
      <c r="E27" s="199">
        <f t="shared" si="0"/>
        <v>95680</v>
      </c>
    </row>
    <row r="28" spans="1:5" x14ac:dyDescent="0.35">
      <c r="A28" t="s">
        <v>632</v>
      </c>
      <c r="B28" s="2">
        <v>8</v>
      </c>
      <c r="E28" s="26">
        <f>SUM(E22:E27)</f>
        <v>1207902.8</v>
      </c>
    </row>
    <row r="30" spans="1:5" x14ac:dyDescent="0.35">
      <c r="A30" t="s">
        <v>659</v>
      </c>
    </row>
    <row r="31" spans="1:5" ht="29" x14ac:dyDescent="0.35">
      <c r="C31" t="s">
        <v>662</v>
      </c>
      <c r="D31" t="s">
        <v>612</v>
      </c>
      <c r="E31" s="106" t="s">
        <v>657</v>
      </c>
    </row>
    <row r="32" spans="1:5" x14ac:dyDescent="0.35">
      <c r="A32" t="s">
        <v>613</v>
      </c>
      <c r="C32" s="2">
        <v>0.5</v>
      </c>
      <c r="D32" s="94">
        <f t="shared" ref="D32:D37" si="1">E22</f>
        <v>333704.8</v>
      </c>
      <c r="E32" s="202">
        <f t="shared" ref="E32:E37" si="2">C32*D32</f>
        <v>166852.4</v>
      </c>
    </row>
    <row r="33" spans="1:6" x14ac:dyDescent="0.35">
      <c r="A33" t="s">
        <v>614</v>
      </c>
      <c r="C33" s="2">
        <v>1</v>
      </c>
      <c r="D33" s="94">
        <f t="shared" si="1"/>
        <v>288568.80000000005</v>
      </c>
      <c r="E33" s="202">
        <f t="shared" si="2"/>
        <v>288568.80000000005</v>
      </c>
    </row>
    <row r="34" spans="1:6" x14ac:dyDescent="0.35">
      <c r="A34" t="s">
        <v>615</v>
      </c>
      <c r="C34" s="2">
        <v>2</v>
      </c>
      <c r="D34" s="94">
        <f t="shared" si="1"/>
        <v>83200</v>
      </c>
      <c r="E34" s="202">
        <f t="shared" si="2"/>
        <v>166400</v>
      </c>
    </row>
    <row r="35" spans="1:6" x14ac:dyDescent="0.35">
      <c r="A35" t="s">
        <v>616</v>
      </c>
      <c r="C35" s="2">
        <v>1</v>
      </c>
      <c r="D35" s="94">
        <f t="shared" si="1"/>
        <v>148829.20000000001</v>
      </c>
      <c r="E35" s="202">
        <f t="shared" si="2"/>
        <v>148829.20000000001</v>
      </c>
    </row>
    <row r="36" spans="1:6" x14ac:dyDescent="0.35">
      <c r="A36" t="s">
        <v>631</v>
      </c>
      <c r="C36" s="2">
        <v>0.5</v>
      </c>
      <c r="D36" s="94">
        <f t="shared" si="1"/>
        <v>257920</v>
      </c>
      <c r="E36" s="202">
        <f t="shared" si="2"/>
        <v>128960</v>
      </c>
    </row>
    <row r="37" spans="1:6" x14ac:dyDescent="0.35">
      <c r="A37" s="60" t="s">
        <v>618</v>
      </c>
      <c r="C37" s="2">
        <v>0.25</v>
      </c>
      <c r="D37" s="195">
        <f t="shared" si="1"/>
        <v>95680</v>
      </c>
      <c r="E37" s="215">
        <f t="shared" si="2"/>
        <v>23920</v>
      </c>
    </row>
    <row r="38" spans="1:6" x14ac:dyDescent="0.35">
      <c r="D38" s="26">
        <f>SUM(D32:D37)</f>
        <v>1207902.8</v>
      </c>
      <c r="E38" s="26">
        <f>SUM(E32:E37)</f>
        <v>923530.40000000014</v>
      </c>
    </row>
    <row r="40" spans="1:6" ht="29" x14ac:dyDescent="0.35">
      <c r="A40" t="s">
        <v>663</v>
      </c>
      <c r="E40" s="106" t="s">
        <v>665</v>
      </c>
    </row>
    <row r="41" spans="1:6" x14ac:dyDescent="0.35">
      <c r="A41" s="353" t="s">
        <v>620</v>
      </c>
      <c r="B41" s="353"/>
      <c r="C41" s="353"/>
      <c r="D41" s="353"/>
      <c r="E41" s="481">
        <f>+(750+300)*12*4</f>
        <v>50400</v>
      </c>
      <c r="F41" s="22"/>
    </row>
    <row r="42" spans="1:6" x14ac:dyDescent="0.35">
      <c r="A42" s="353" t="s">
        <v>1558</v>
      </c>
      <c r="B42" s="353"/>
      <c r="C42" s="353"/>
      <c r="D42" s="353"/>
      <c r="E42" s="598">
        <v>20000</v>
      </c>
      <c r="F42" s="22"/>
    </row>
    <row r="43" spans="1:6" x14ac:dyDescent="0.35">
      <c r="A43" s="353" t="s">
        <v>621</v>
      </c>
      <c r="B43" s="353"/>
      <c r="C43" s="353"/>
      <c r="D43" s="353"/>
      <c r="E43" s="481">
        <v>4800</v>
      </c>
      <c r="F43" s="22"/>
    </row>
    <row r="44" spans="1:6" x14ac:dyDescent="0.35">
      <c r="A44" s="353" t="s">
        <v>622</v>
      </c>
      <c r="B44" s="353"/>
      <c r="C44" s="353"/>
      <c r="D44" s="353"/>
      <c r="E44" s="481">
        <v>60000</v>
      </c>
      <c r="F44" s="22"/>
    </row>
    <row r="45" spans="1:6" ht="16" x14ac:dyDescent="0.5">
      <c r="A45" s="353" t="s">
        <v>623</v>
      </c>
      <c r="B45" s="353"/>
      <c r="C45" s="353"/>
      <c r="D45" s="353"/>
      <c r="E45" s="482">
        <v>10000</v>
      </c>
      <c r="F45" s="196"/>
    </row>
    <row r="46" spans="1:6" x14ac:dyDescent="0.35">
      <c r="B46" s="70" t="s">
        <v>666</v>
      </c>
      <c r="E46" s="193">
        <f>SUM(E41:E45)</f>
        <v>145200</v>
      </c>
      <c r="F46" s="94"/>
    </row>
    <row r="47" spans="1:6" x14ac:dyDescent="0.35">
      <c r="A47" s="70"/>
      <c r="E47" s="193"/>
      <c r="F47" s="94"/>
    </row>
    <row r="48" spans="1:6" ht="18.5" x14ac:dyDescent="0.45">
      <c r="A48" s="125" t="s">
        <v>1318</v>
      </c>
      <c r="B48" s="96"/>
      <c r="C48" s="96"/>
      <c r="D48" s="96"/>
      <c r="E48" s="475">
        <f>E46+E38</f>
        <v>1068730.4000000001</v>
      </c>
    </row>
    <row r="52" spans="1:12" x14ac:dyDescent="0.35">
      <c r="A52" s="1"/>
      <c r="F52" s="94"/>
    </row>
    <row r="53" spans="1:12" x14ac:dyDescent="0.35">
      <c r="A53" s="1"/>
      <c r="F53" s="94"/>
    </row>
    <row r="54" spans="1:12" x14ac:dyDescent="0.35">
      <c r="A54" s="1"/>
      <c r="F54" s="94"/>
    </row>
    <row r="55" spans="1:12" x14ac:dyDescent="0.35">
      <c r="A55" s="1"/>
      <c r="F55" s="94"/>
    </row>
    <row r="56" spans="1:12" x14ac:dyDescent="0.35">
      <c r="A56" s="1"/>
      <c r="F56" s="94"/>
    </row>
    <row r="57" spans="1:12" ht="16" x14ac:dyDescent="0.5">
      <c r="A57" s="1"/>
      <c r="B57" s="198"/>
      <c r="F57" s="209"/>
    </row>
    <row r="58" spans="1:12" x14ac:dyDescent="0.35">
      <c r="B58" s="70"/>
      <c r="F58" s="26"/>
    </row>
    <row r="61" spans="1:12" x14ac:dyDescent="0.35">
      <c r="A61" s="60"/>
      <c r="B61" s="149"/>
      <c r="C61" s="60"/>
      <c r="D61" s="60"/>
      <c r="E61" s="151"/>
      <c r="F61" s="60"/>
      <c r="G61" s="60"/>
      <c r="H61" s="60"/>
      <c r="I61" s="60"/>
      <c r="J61" s="60"/>
      <c r="K61" s="60"/>
      <c r="L61" s="60"/>
    </row>
    <row r="62" spans="1:12" x14ac:dyDescent="0.35">
      <c r="A62" s="60"/>
      <c r="B62" s="151"/>
      <c r="C62" s="198"/>
      <c r="D62" s="198"/>
      <c r="E62" s="60"/>
      <c r="F62" s="60"/>
      <c r="G62" s="60"/>
      <c r="H62" s="60"/>
      <c r="I62" s="60"/>
      <c r="J62" s="60"/>
      <c r="K62" s="60"/>
      <c r="L62" s="60"/>
    </row>
    <row r="63" spans="1:12" x14ac:dyDescent="0.35">
      <c r="A63" s="60"/>
      <c r="B63" s="157"/>
      <c r="C63" s="210"/>
      <c r="D63" s="157"/>
      <c r="E63" s="204"/>
      <c r="F63" s="153"/>
      <c r="G63" s="60"/>
      <c r="H63" s="60"/>
      <c r="I63" s="60"/>
      <c r="J63" s="60"/>
      <c r="K63" s="60"/>
      <c r="L63" s="60"/>
    </row>
    <row r="64" spans="1:12" x14ac:dyDescent="0.35">
      <c r="A64" s="60"/>
      <c r="B64" s="157"/>
      <c r="C64" s="210"/>
      <c r="D64" s="157"/>
      <c r="E64" s="204"/>
      <c r="F64" s="153"/>
      <c r="G64" s="60"/>
      <c r="H64" s="60"/>
      <c r="I64" s="60"/>
      <c r="J64" s="60"/>
      <c r="K64" s="60"/>
      <c r="L64" s="60"/>
    </row>
    <row r="65" spans="1:12" x14ac:dyDescent="0.35">
      <c r="A65" s="60"/>
      <c r="B65" s="157"/>
      <c r="C65" s="210"/>
      <c r="D65" s="157"/>
      <c r="E65" s="204"/>
      <c r="F65" s="153"/>
      <c r="G65" s="60"/>
      <c r="H65" s="60"/>
      <c r="I65" s="60"/>
      <c r="J65" s="60"/>
      <c r="K65" s="60"/>
      <c r="L65" s="60"/>
    </row>
    <row r="66" spans="1:12" x14ac:dyDescent="0.35">
      <c r="A66" s="60"/>
      <c r="B66" s="153"/>
      <c r="C66" s="60"/>
      <c r="D66" s="153"/>
      <c r="E66" s="153"/>
      <c r="F66" s="153"/>
      <c r="G66" s="60"/>
      <c r="H66" s="60"/>
      <c r="I66" s="60"/>
      <c r="J66" s="60"/>
      <c r="K66" s="60"/>
      <c r="L66" s="60"/>
    </row>
    <row r="67" spans="1:12" x14ac:dyDescent="0.35">
      <c r="A67" s="60"/>
      <c r="B67" s="153"/>
      <c r="C67" s="60"/>
      <c r="D67" s="153"/>
      <c r="E67" s="153"/>
      <c r="F67" s="153"/>
      <c r="G67" s="60"/>
      <c r="H67" s="60"/>
      <c r="I67" s="60"/>
      <c r="J67" s="60"/>
      <c r="K67" s="60"/>
      <c r="L67" s="60"/>
    </row>
    <row r="68" spans="1:12" x14ac:dyDescent="0.35">
      <c r="A68" s="60"/>
      <c r="B68" s="153"/>
      <c r="C68" s="60"/>
      <c r="D68" s="153"/>
      <c r="E68" s="153"/>
      <c r="F68" s="153"/>
      <c r="G68" s="149"/>
      <c r="H68" s="149"/>
      <c r="I68" s="149"/>
      <c r="J68" s="149"/>
      <c r="K68" s="149"/>
      <c r="L68" s="60"/>
    </row>
    <row r="69" spans="1:12" x14ac:dyDescent="0.35">
      <c r="A69" s="151"/>
      <c r="B69" s="151"/>
      <c r="C69" s="152"/>
      <c r="D69" s="151"/>
      <c r="E69" s="152"/>
      <c r="F69" s="152"/>
      <c r="G69" s="152"/>
      <c r="H69" s="152"/>
      <c r="I69" s="151"/>
      <c r="J69" s="151"/>
      <c r="K69" s="151"/>
      <c r="L69" s="60"/>
    </row>
    <row r="70" spans="1:12" x14ac:dyDescent="0.35">
      <c r="A70" s="60"/>
      <c r="B70" s="60"/>
      <c r="C70" s="153"/>
      <c r="D70" s="153"/>
      <c r="E70" s="153"/>
      <c r="F70" s="153"/>
      <c r="G70" s="211"/>
      <c r="H70" s="153"/>
      <c r="I70" s="212"/>
      <c r="J70" s="157"/>
      <c r="L70" s="60"/>
    </row>
    <row r="71" spans="1:12" x14ac:dyDescent="0.35">
      <c r="A71" s="60"/>
      <c r="B71" s="205"/>
      <c r="C71" s="153"/>
      <c r="D71" s="153"/>
      <c r="E71" s="153"/>
      <c r="F71" s="153"/>
      <c r="G71" s="211"/>
      <c r="H71" s="153"/>
      <c r="I71" s="212"/>
      <c r="J71" s="157"/>
      <c r="L71" s="60"/>
    </row>
    <row r="72" spans="1:12" x14ac:dyDescent="0.35">
      <c r="A72" s="60"/>
      <c r="B72" s="205"/>
      <c r="C72" s="153"/>
      <c r="D72" s="153"/>
      <c r="E72" s="153"/>
      <c r="F72" s="153"/>
      <c r="G72" s="211"/>
      <c r="H72" s="153"/>
      <c r="I72" s="212"/>
      <c r="J72" s="157"/>
      <c r="L72" s="60"/>
    </row>
    <row r="73" spans="1:12" x14ac:dyDescent="0.35">
      <c r="A73" s="60"/>
      <c r="B73" s="205"/>
      <c r="C73" s="153"/>
      <c r="D73" s="153"/>
      <c r="E73" s="153"/>
      <c r="F73" s="153"/>
      <c r="G73" s="211"/>
      <c r="H73" s="153"/>
      <c r="I73" s="213"/>
      <c r="J73" s="153"/>
      <c r="K73" s="60"/>
      <c r="L73" s="60"/>
    </row>
    <row r="74" spans="1:12" x14ac:dyDescent="0.35">
      <c r="A74" s="60"/>
      <c r="B74" s="153"/>
      <c r="C74" s="153"/>
      <c r="D74" s="153"/>
      <c r="E74" s="153"/>
      <c r="F74" s="153"/>
      <c r="G74" s="211"/>
      <c r="H74" s="153"/>
      <c r="I74" s="213"/>
      <c r="J74" s="153"/>
      <c r="K74" s="60"/>
      <c r="L74" s="60"/>
    </row>
    <row r="75" spans="1:12" x14ac:dyDescent="0.35">
      <c r="A75" s="79"/>
      <c r="B75" s="206"/>
    </row>
    <row r="76" spans="1:12" x14ac:dyDescent="0.35">
      <c r="E76" s="207"/>
    </row>
    <row r="77" spans="1:12" x14ac:dyDescent="0.35">
      <c r="E77" s="192"/>
    </row>
    <row r="78" spans="1:12" x14ac:dyDescent="0.35">
      <c r="E78" s="192"/>
    </row>
    <row r="79" spans="1:12" x14ac:dyDescent="0.35">
      <c r="E79" s="192"/>
    </row>
    <row r="80" spans="1:12" x14ac:dyDescent="0.35">
      <c r="E80" s="214"/>
    </row>
    <row r="81" spans="1:7" x14ac:dyDescent="0.35">
      <c r="E81" s="192"/>
    </row>
    <row r="82" spans="1:7" x14ac:dyDescent="0.35">
      <c r="E82" s="192"/>
    </row>
    <row r="83" spans="1:7" ht="16" x14ac:dyDescent="0.5">
      <c r="E83" s="196"/>
    </row>
    <row r="84" spans="1:7" x14ac:dyDescent="0.35">
      <c r="A84" s="70"/>
      <c r="E84" s="193"/>
    </row>
    <row r="85" spans="1:7" x14ac:dyDescent="0.35">
      <c r="G85" s="208"/>
    </row>
    <row r="86" spans="1:7" x14ac:dyDescent="0.35">
      <c r="B86" s="60"/>
      <c r="C86" s="60"/>
      <c r="D86" s="60"/>
      <c r="F86" s="60"/>
    </row>
    <row r="87" spans="1:7" x14ac:dyDescent="0.35">
      <c r="A87" s="48"/>
      <c r="E87" s="197"/>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G44"/>
  <sheetViews>
    <sheetView zoomScaleNormal="100" workbookViewId="0">
      <selection activeCell="C26" sqref="C26:D26"/>
    </sheetView>
  </sheetViews>
  <sheetFormatPr defaultRowHeight="14.5" x14ac:dyDescent="0.35"/>
  <cols>
    <col min="1" max="1" width="13.453125" customWidth="1"/>
    <col min="2" max="2" width="15.7265625" customWidth="1"/>
    <col min="3" max="3" width="17.7265625" customWidth="1"/>
    <col min="4" max="4" width="14.81640625" customWidth="1"/>
    <col min="5" max="5" width="16.453125" customWidth="1"/>
    <col min="6" max="6" width="16.26953125" customWidth="1"/>
    <col min="7" max="7" width="15.1796875" customWidth="1"/>
  </cols>
  <sheetData>
    <row r="1" spans="1:5" x14ac:dyDescent="0.35">
      <c r="A1" s="307" t="s">
        <v>0</v>
      </c>
    </row>
    <row r="2" spans="1:5" x14ac:dyDescent="0.35">
      <c r="A2" s="308" t="s">
        <v>1</v>
      </c>
    </row>
    <row r="3" spans="1:5" x14ac:dyDescent="0.35">
      <c r="A3" s="308" t="s">
        <v>971</v>
      </c>
    </row>
    <row r="4" spans="1:5" x14ac:dyDescent="0.35">
      <c r="A4" s="309" t="s">
        <v>1546</v>
      </c>
    </row>
    <row r="6" spans="1:5" ht="18.5" x14ac:dyDescent="0.45">
      <c r="A6" s="125" t="s">
        <v>1319</v>
      </c>
      <c r="B6" s="125"/>
      <c r="C6" s="125"/>
      <c r="D6" s="125"/>
      <c r="E6" s="125"/>
    </row>
    <row r="7" spans="1:5" x14ac:dyDescent="0.35">
      <c r="A7" t="s">
        <v>160</v>
      </c>
    </row>
    <row r="8" spans="1:5" x14ac:dyDescent="0.35">
      <c r="A8" s="60" t="s">
        <v>1026</v>
      </c>
    </row>
    <row r="9" spans="1:5" x14ac:dyDescent="0.35">
      <c r="A9" t="s">
        <v>637</v>
      </c>
    </row>
    <row r="10" spans="1:5" x14ac:dyDescent="0.35">
      <c r="A10" s="61" t="s">
        <v>636</v>
      </c>
    </row>
    <row r="11" spans="1:5" x14ac:dyDescent="0.35">
      <c r="A11" s="60"/>
    </row>
    <row r="12" spans="1:5" x14ac:dyDescent="0.35">
      <c r="A12" t="s">
        <v>656</v>
      </c>
    </row>
    <row r="13" spans="1:5" x14ac:dyDescent="0.35">
      <c r="A13" t="s">
        <v>634</v>
      </c>
    </row>
    <row r="14" spans="1:5" x14ac:dyDescent="0.35">
      <c r="A14" t="s">
        <v>629</v>
      </c>
    </row>
    <row r="15" spans="1:5" x14ac:dyDescent="0.35">
      <c r="D15" t="s">
        <v>633</v>
      </c>
      <c r="E15" t="s">
        <v>612</v>
      </c>
    </row>
    <row r="16" spans="1:5" x14ac:dyDescent="0.35">
      <c r="A16" s="1"/>
      <c r="B16" t="s">
        <v>630</v>
      </c>
      <c r="D16" s="477">
        <f>Inputs!$E$302</f>
        <v>160.435</v>
      </c>
      <c r="E16" s="478">
        <f t="shared" ref="E16:E21" si="0">D16*2080</f>
        <v>333704.8</v>
      </c>
    </row>
    <row r="17" spans="1:7" x14ac:dyDescent="0.35">
      <c r="A17" s="1"/>
      <c r="B17" t="s">
        <v>614</v>
      </c>
      <c r="D17" s="477">
        <f>Inputs!$E$303</f>
        <v>138.73500000000001</v>
      </c>
      <c r="E17" s="478">
        <f t="shared" si="0"/>
        <v>288568.80000000005</v>
      </c>
    </row>
    <row r="18" spans="1:7" x14ac:dyDescent="0.35">
      <c r="A18" s="1"/>
      <c r="B18" t="s">
        <v>615</v>
      </c>
      <c r="D18" s="477">
        <f>Inputs!$E$308</f>
        <v>40</v>
      </c>
      <c r="E18" s="478">
        <f t="shared" si="0"/>
        <v>83200</v>
      </c>
    </row>
    <row r="19" spans="1:7" x14ac:dyDescent="0.35">
      <c r="A19" s="1"/>
      <c r="B19" t="s">
        <v>616</v>
      </c>
      <c r="D19" s="477">
        <f>Inputs!$E$304</f>
        <v>71.552500000000009</v>
      </c>
      <c r="E19" s="478">
        <f t="shared" si="0"/>
        <v>148829.20000000001</v>
      </c>
    </row>
    <row r="20" spans="1:7" x14ac:dyDescent="0.35">
      <c r="A20" s="1"/>
      <c r="B20" t="s">
        <v>631</v>
      </c>
      <c r="D20" s="477">
        <f>Inputs!$E$307*2</f>
        <v>124</v>
      </c>
      <c r="E20" s="478">
        <f t="shared" si="0"/>
        <v>257920</v>
      </c>
    </row>
    <row r="21" spans="1:7" x14ac:dyDescent="0.35">
      <c r="A21" s="1"/>
      <c r="B21" s="198" t="s">
        <v>618</v>
      </c>
      <c r="D21" s="477">
        <f>Inputs!$E$306</f>
        <v>46</v>
      </c>
      <c r="E21" s="478">
        <f t="shared" si="0"/>
        <v>95680</v>
      </c>
    </row>
    <row r="22" spans="1:7" x14ac:dyDescent="0.35">
      <c r="A22" t="s">
        <v>632</v>
      </c>
      <c r="B22" s="2">
        <v>8</v>
      </c>
      <c r="E22" s="26">
        <f>SUM(E16:E21)</f>
        <v>1207902.8</v>
      </c>
    </row>
    <row r="25" spans="1:7" x14ac:dyDescent="0.35">
      <c r="A25" t="s">
        <v>655</v>
      </c>
    </row>
    <row r="26" spans="1:7" ht="43.5" x14ac:dyDescent="0.35">
      <c r="C26" s="60" t="s">
        <v>1027</v>
      </c>
      <c r="D26" s="476" t="s">
        <v>1028</v>
      </c>
      <c r="E26" s="2" t="s">
        <v>83</v>
      </c>
      <c r="F26" t="s">
        <v>612</v>
      </c>
      <c r="G26" s="106" t="s">
        <v>657</v>
      </c>
    </row>
    <row r="27" spans="1:7" x14ac:dyDescent="0.35">
      <c r="A27" t="s">
        <v>613</v>
      </c>
      <c r="C27" s="352">
        <v>0.5</v>
      </c>
      <c r="D27" s="352">
        <f t="shared" ref="D27:D32" si="1">C27*3</f>
        <v>1.5</v>
      </c>
      <c r="E27" s="352">
        <f t="shared" ref="E27:E32" si="2">C27+D27</f>
        <v>2</v>
      </c>
      <c r="F27" s="478">
        <f t="shared" ref="F27:F32" si="3">E16</f>
        <v>333704.8</v>
      </c>
      <c r="G27" s="479">
        <f t="shared" ref="G27:G32" si="4">E27*F27</f>
        <v>667409.6</v>
      </c>
    </row>
    <row r="28" spans="1:7" x14ac:dyDescent="0.35">
      <c r="A28" t="s">
        <v>614</v>
      </c>
      <c r="C28" s="352">
        <v>1</v>
      </c>
      <c r="D28" s="352">
        <f t="shared" si="1"/>
        <v>3</v>
      </c>
      <c r="E28" s="352">
        <f t="shared" si="2"/>
        <v>4</v>
      </c>
      <c r="F28" s="478">
        <f t="shared" si="3"/>
        <v>288568.80000000005</v>
      </c>
      <c r="G28" s="479">
        <f t="shared" si="4"/>
        <v>1154275.2000000002</v>
      </c>
    </row>
    <row r="29" spans="1:7" x14ac:dyDescent="0.35">
      <c r="A29" t="s">
        <v>615</v>
      </c>
      <c r="C29" s="352">
        <v>2</v>
      </c>
      <c r="D29" s="352">
        <f t="shared" si="1"/>
        <v>6</v>
      </c>
      <c r="E29" s="352">
        <f t="shared" si="2"/>
        <v>8</v>
      </c>
      <c r="F29" s="478">
        <f t="shared" si="3"/>
        <v>83200</v>
      </c>
      <c r="G29" s="479">
        <f t="shared" si="4"/>
        <v>665600</v>
      </c>
    </row>
    <row r="30" spans="1:7" x14ac:dyDescent="0.35">
      <c r="A30" t="s">
        <v>616</v>
      </c>
      <c r="C30" s="352">
        <v>1</v>
      </c>
      <c r="D30" s="352">
        <f t="shared" si="1"/>
        <v>3</v>
      </c>
      <c r="E30" s="352">
        <f t="shared" si="2"/>
        <v>4</v>
      </c>
      <c r="F30" s="478">
        <f t="shared" si="3"/>
        <v>148829.20000000001</v>
      </c>
      <c r="G30" s="479">
        <f t="shared" si="4"/>
        <v>595316.80000000005</v>
      </c>
    </row>
    <row r="31" spans="1:7" x14ac:dyDescent="0.35">
      <c r="A31" t="s">
        <v>631</v>
      </c>
      <c r="C31" s="352">
        <v>0.5</v>
      </c>
      <c r="D31" s="352">
        <f t="shared" si="1"/>
        <v>1.5</v>
      </c>
      <c r="E31" s="352">
        <f t="shared" si="2"/>
        <v>2</v>
      </c>
      <c r="F31" s="478">
        <f t="shared" si="3"/>
        <v>257920</v>
      </c>
      <c r="G31" s="479">
        <f t="shared" si="4"/>
        <v>515840</v>
      </c>
    </row>
    <row r="32" spans="1:7" x14ac:dyDescent="0.35">
      <c r="A32" s="60" t="s">
        <v>618</v>
      </c>
      <c r="C32" s="352">
        <v>0.25</v>
      </c>
      <c r="D32" s="352">
        <f t="shared" si="1"/>
        <v>0.75</v>
      </c>
      <c r="E32" s="352">
        <f t="shared" si="2"/>
        <v>1</v>
      </c>
      <c r="F32" s="480">
        <f t="shared" si="3"/>
        <v>95680</v>
      </c>
      <c r="G32" s="479">
        <f t="shared" si="4"/>
        <v>95680</v>
      </c>
    </row>
    <row r="33" spans="1:7" x14ac:dyDescent="0.35">
      <c r="E33" t="s">
        <v>83</v>
      </c>
      <c r="F33" s="26">
        <f>SUM(F27:F32)</f>
        <v>1207902.8</v>
      </c>
      <c r="G33" s="26">
        <f>SUM(G27:G32)</f>
        <v>3694121.6000000006</v>
      </c>
    </row>
    <row r="34" spans="1:7" x14ac:dyDescent="0.35">
      <c r="F34" s="26"/>
      <c r="G34" s="26"/>
    </row>
    <row r="36" spans="1:7" ht="47.25" customHeight="1" x14ac:dyDescent="0.35">
      <c r="A36" t="s">
        <v>663</v>
      </c>
      <c r="E36" s="194" t="s">
        <v>619</v>
      </c>
      <c r="F36" s="106" t="s">
        <v>664</v>
      </c>
    </row>
    <row r="37" spans="1:7" x14ac:dyDescent="0.35">
      <c r="A37" t="s">
        <v>620</v>
      </c>
      <c r="E37" s="483">
        <f>+(750+300)*12*4</f>
        <v>50400</v>
      </c>
      <c r="F37" s="484">
        <f t="shared" ref="F37:F41" si="5">+E37*4</f>
        <v>201600</v>
      </c>
    </row>
    <row r="38" spans="1:7" x14ac:dyDescent="0.35">
      <c r="A38" t="s">
        <v>1558</v>
      </c>
      <c r="E38" s="596">
        <v>20000</v>
      </c>
      <c r="F38" s="599">
        <f t="shared" si="5"/>
        <v>80000</v>
      </c>
    </row>
    <row r="39" spans="1:7" x14ac:dyDescent="0.35">
      <c r="A39" t="s">
        <v>621</v>
      </c>
      <c r="E39" s="483">
        <v>4800</v>
      </c>
      <c r="F39" s="484">
        <f t="shared" si="5"/>
        <v>19200</v>
      </c>
    </row>
    <row r="40" spans="1:7" x14ac:dyDescent="0.35">
      <c r="A40" t="s">
        <v>622</v>
      </c>
      <c r="E40" s="483">
        <v>60000</v>
      </c>
      <c r="F40" s="484">
        <f t="shared" si="5"/>
        <v>240000</v>
      </c>
    </row>
    <row r="41" spans="1:7" x14ac:dyDescent="0.35">
      <c r="A41" t="s">
        <v>623</v>
      </c>
      <c r="E41" s="482">
        <v>10000</v>
      </c>
      <c r="F41" s="482">
        <f t="shared" si="5"/>
        <v>40000</v>
      </c>
    </row>
    <row r="42" spans="1:7" x14ac:dyDescent="0.35">
      <c r="B42" s="70" t="s">
        <v>666</v>
      </c>
      <c r="E42" s="193">
        <f>SUM(E37:E41)</f>
        <v>145200</v>
      </c>
      <c r="F42" s="94">
        <f>SUM(F37:F41)</f>
        <v>580800</v>
      </c>
    </row>
    <row r="44" spans="1:7" ht="18.5" x14ac:dyDescent="0.45">
      <c r="A44" s="125" t="s">
        <v>1320</v>
      </c>
      <c r="B44" s="96"/>
      <c r="C44" s="96"/>
      <c r="D44" s="96"/>
      <c r="E44" s="96"/>
      <c r="F44" s="475">
        <f>+F42+G33</f>
        <v>4274921.6000000006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L80"/>
  <sheetViews>
    <sheetView topLeftCell="A37" zoomScaleNormal="100" workbookViewId="0">
      <selection activeCell="K56" sqref="K56"/>
    </sheetView>
  </sheetViews>
  <sheetFormatPr defaultRowHeight="14.5" x14ac:dyDescent="0.35"/>
  <cols>
    <col min="1" max="1" width="17.1796875" customWidth="1"/>
    <col min="2" max="2" width="20.1796875" customWidth="1"/>
    <col min="3" max="3" width="13.54296875" customWidth="1"/>
    <col min="4" max="4" width="16.54296875" customWidth="1"/>
    <col min="5" max="5" width="17.81640625" customWidth="1"/>
    <col min="6" max="6" width="18" customWidth="1"/>
    <col min="7" max="7" width="12.453125" customWidth="1"/>
    <col min="11" max="11" width="10.54296875" bestFit="1" customWidth="1"/>
    <col min="12" max="12" width="11.54296875" bestFit="1" customWidth="1"/>
  </cols>
  <sheetData>
    <row r="1" spans="1:5" x14ac:dyDescent="0.35">
      <c r="A1" s="307" t="s">
        <v>0</v>
      </c>
    </row>
    <row r="2" spans="1:5" x14ac:dyDescent="0.35">
      <c r="A2" s="308" t="s">
        <v>1</v>
      </c>
    </row>
    <row r="3" spans="1:5" x14ac:dyDescent="0.35">
      <c r="A3" s="308" t="s">
        <v>971</v>
      </c>
    </row>
    <row r="4" spans="1:5" x14ac:dyDescent="0.35">
      <c r="A4" s="309" t="s">
        <v>1546</v>
      </c>
    </row>
    <row r="6" spans="1:5" ht="18.5" x14ac:dyDescent="0.45">
      <c r="A6" s="125" t="s">
        <v>1321</v>
      </c>
      <c r="B6" s="95"/>
      <c r="C6" s="125"/>
      <c r="D6" s="125"/>
    </row>
    <row r="7" spans="1:5" x14ac:dyDescent="0.35">
      <c r="A7" t="s">
        <v>160</v>
      </c>
    </row>
    <row r="8" spans="1:5" x14ac:dyDescent="0.35">
      <c r="A8" t="s">
        <v>640</v>
      </c>
    </row>
    <row r="9" spans="1:5" x14ac:dyDescent="0.35">
      <c r="A9" s="61" t="s">
        <v>636</v>
      </c>
    </row>
    <row r="10" spans="1:5" x14ac:dyDescent="0.35">
      <c r="A10" s="60" t="s">
        <v>1323</v>
      </c>
    </row>
    <row r="11" spans="1:5" x14ac:dyDescent="0.35">
      <c r="A11" s="60" t="s">
        <v>1562</v>
      </c>
    </row>
    <row r="13" spans="1:5" x14ac:dyDescent="0.35">
      <c r="A13" t="s">
        <v>641</v>
      </c>
    </row>
    <row r="14" spans="1:5" x14ac:dyDescent="0.35">
      <c r="A14" t="s">
        <v>642</v>
      </c>
    </row>
    <row r="15" spans="1:5" x14ac:dyDescent="0.35">
      <c r="A15" t="s">
        <v>643</v>
      </c>
    </row>
    <row r="16" spans="1:5" x14ac:dyDescent="0.35">
      <c r="D16" t="s">
        <v>633</v>
      </c>
      <c r="E16" t="s">
        <v>612</v>
      </c>
    </row>
    <row r="17" spans="1:12" x14ac:dyDescent="0.35">
      <c r="A17" s="1"/>
      <c r="B17" t="s">
        <v>630</v>
      </c>
      <c r="D17" s="477">
        <f>Inputs!$E$302</f>
        <v>160.435</v>
      </c>
      <c r="E17" s="478">
        <f>D17*2080</f>
        <v>333704.8</v>
      </c>
    </row>
    <row r="18" spans="1:12" x14ac:dyDescent="0.35">
      <c r="A18" s="1"/>
      <c r="B18" t="s">
        <v>645</v>
      </c>
      <c r="D18" s="477">
        <f>Inputs!$E$308</f>
        <v>40</v>
      </c>
      <c r="E18" s="478">
        <f>D18*2080</f>
        <v>83200</v>
      </c>
    </row>
    <row r="19" spans="1:12" x14ac:dyDescent="0.35">
      <c r="A19" s="1"/>
      <c r="B19" t="s">
        <v>616</v>
      </c>
      <c r="D19" s="477">
        <f>Inputs!$E$304</f>
        <v>71.552500000000009</v>
      </c>
      <c r="E19" s="478">
        <f>D19*2080</f>
        <v>148829.20000000001</v>
      </c>
    </row>
    <row r="20" spans="1:12" x14ac:dyDescent="0.35">
      <c r="A20" s="1"/>
      <c r="B20" t="s">
        <v>617</v>
      </c>
      <c r="D20" s="477">
        <f>Inputs!$E$307*2</f>
        <v>124</v>
      </c>
      <c r="E20" s="478">
        <f>D20*2080</f>
        <v>257920</v>
      </c>
    </row>
    <row r="21" spans="1:12" x14ac:dyDescent="0.35">
      <c r="A21" t="s">
        <v>632</v>
      </c>
      <c r="B21" s="70">
        <v>4</v>
      </c>
      <c r="E21" s="26">
        <f>SUM(E17:E20)</f>
        <v>823654</v>
      </c>
    </row>
    <row r="23" spans="1:12" x14ac:dyDescent="0.35">
      <c r="A23" s="60" t="s">
        <v>1325</v>
      </c>
    </row>
    <row r="24" spans="1:12" ht="29" x14ac:dyDescent="0.35">
      <c r="C24" s="106" t="s">
        <v>1326</v>
      </c>
      <c r="D24" t="s">
        <v>612</v>
      </c>
      <c r="E24" s="106" t="s">
        <v>657</v>
      </c>
    </row>
    <row r="25" spans="1:12" x14ac:dyDescent="0.35">
      <c r="A25" t="s">
        <v>613</v>
      </c>
      <c r="C25" s="352">
        <v>0.5</v>
      </c>
      <c r="D25" s="478">
        <f>E17</f>
        <v>333704.8</v>
      </c>
      <c r="E25" s="479">
        <f>C25*D25</f>
        <v>166852.4</v>
      </c>
    </row>
    <row r="26" spans="1:12" x14ac:dyDescent="0.35">
      <c r="A26" t="s">
        <v>646</v>
      </c>
      <c r="C26" s="352">
        <v>1</v>
      </c>
      <c r="D26" s="478">
        <f>E18</f>
        <v>83200</v>
      </c>
      <c r="E26" s="479">
        <f>C26*D26</f>
        <v>83200</v>
      </c>
    </row>
    <row r="27" spans="1:12" x14ac:dyDescent="0.35">
      <c r="A27" t="s">
        <v>616</v>
      </c>
      <c r="C27" s="352">
        <v>0.5</v>
      </c>
      <c r="D27" s="595">
        <f>E19</f>
        <v>148829.20000000001</v>
      </c>
      <c r="E27" s="479">
        <f>C27*D27</f>
        <v>74414.600000000006</v>
      </c>
    </row>
    <row r="28" spans="1:12" x14ac:dyDescent="0.35">
      <c r="A28" t="s">
        <v>617</v>
      </c>
      <c r="C28" s="352">
        <v>0.5</v>
      </c>
      <c r="D28" s="478">
        <f>E20</f>
        <v>257920</v>
      </c>
      <c r="E28" s="479">
        <f>C28*D28</f>
        <v>128960</v>
      </c>
    </row>
    <row r="29" spans="1:12" x14ac:dyDescent="0.35">
      <c r="D29" s="26">
        <f>SUM(D25:D28)</f>
        <v>823654</v>
      </c>
      <c r="E29" s="26">
        <f>SUM(E25:E28)</f>
        <v>453427</v>
      </c>
    </row>
    <row r="31" spans="1:12" ht="29" x14ac:dyDescent="0.35">
      <c r="A31" t="s">
        <v>663</v>
      </c>
      <c r="E31" s="106" t="s">
        <v>1327</v>
      </c>
    </row>
    <row r="32" spans="1:12" x14ac:dyDescent="0.35">
      <c r="A32" t="s">
        <v>644</v>
      </c>
      <c r="E32" s="483">
        <f>+(750+300)*12*2</f>
        <v>25200</v>
      </c>
      <c r="K32" t="s">
        <v>1567</v>
      </c>
      <c r="L32" t="s">
        <v>1568</v>
      </c>
    </row>
    <row r="33" spans="1:12" x14ac:dyDescent="0.35">
      <c r="A33" t="s">
        <v>1558</v>
      </c>
      <c r="E33" s="596">
        <v>20000</v>
      </c>
      <c r="G33" t="s">
        <v>1566</v>
      </c>
      <c r="K33" s="59">
        <v>1563.55</v>
      </c>
      <c r="L33" s="59">
        <f>K33*12</f>
        <v>18762.599999999999</v>
      </c>
    </row>
    <row r="34" spans="1:12" x14ac:dyDescent="0.35">
      <c r="A34" t="s">
        <v>621</v>
      </c>
      <c r="E34" s="483">
        <v>4800</v>
      </c>
      <c r="K34" t="s">
        <v>1572</v>
      </c>
      <c r="L34" s="26">
        <v>20000</v>
      </c>
    </row>
    <row r="35" spans="1:12" x14ac:dyDescent="0.35">
      <c r="A35" t="s">
        <v>622</v>
      </c>
      <c r="E35" s="483">
        <v>20000</v>
      </c>
    </row>
    <row r="36" spans="1:12" x14ac:dyDescent="0.35">
      <c r="A36" t="s">
        <v>623</v>
      </c>
      <c r="E36" s="482">
        <v>10000</v>
      </c>
    </row>
    <row r="37" spans="1:12" x14ac:dyDescent="0.35">
      <c r="A37" s="70" t="s">
        <v>666</v>
      </c>
      <c r="E37" s="193">
        <f>SUM(E32:E36)</f>
        <v>80000</v>
      </c>
    </row>
    <row r="38" spans="1:12" x14ac:dyDescent="0.35">
      <c r="A38" s="70"/>
      <c r="E38" s="193"/>
    </row>
    <row r="39" spans="1:12" x14ac:dyDescent="0.35">
      <c r="A39" s="70" t="s">
        <v>1569</v>
      </c>
      <c r="E39" s="193"/>
    </row>
    <row r="40" spans="1:12" x14ac:dyDescent="0.35">
      <c r="A40" s="70" t="s">
        <v>1570</v>
      </c>
      <c r="E40" s="193"/>
    </row>
    <row r="42" spans="1:12" x14ac:dyDescent="0.35">
      <c r="A42" t="s">
        <v>440</v>
      </c>
      <c r="B42" s="136">
        <v>0.02</v>
      </c>
    </row>
    <row r="43" spans="1:12" x14ac:dyDescent="0.35">
      <c r="A43" t="s">
        <v>441</v>
      </c>
      <c r="B43" s="136">
        <v>0.03</v>
      </c>
    </row>
    <row r="44" spans="1:12" x14ac:dyDescent="0.35">
      <c r="E44" s="2" t="s">
        <v>442</v>
      </c>
      <c r="F44" s="2" t="s">
        <v>444</v>
      </c>
    </row>
    <row r="45" spans="1:12" x14ac:dyDescent="0.35">
      <c r="B45" s="2" t="s">
        <v>345</v>
      </c>
      <c r="D45" t="s">
        <v>439</v>
      </c>
      <c r="E45" s="2" t="s">
        <v>443</v>
      </c>
      <c r="F45" s="2" t="s">
        <v>443</v>
      </c>
    </row>
    <row r="46" spans="1:12" x14ac:dyDescent="0.35">
      <c r="B46" s="60">
        <v>2026</v>
      </c>
      <c r="D46" t="s">
        <v>1571</v>
      </c>
      <c r="E46" s="135"/>
      <c r="F46" s="135"/>
    </row>
    <row r="47" spans="1:12" x14ac:dyDescent="0.35">
      <c r="B47" s="60">
        <f>+B46+1</f>
        <v>2027</v>
      </c>
      <c r="D47" t="s">
        <v>1571</v>
      </c>
      <c r="E47" s="135"/>
      <c r="F47" s="135"/>
    </row>
    <row r="48" spans="1:12" x14ac:dyDescent="0.35">
      <c r="B48" s="60">
        <f t="shared" ref="B48:B69" si="0">+B47+1</f>
        <v>2028</v>
      </c>
      <c r="D48" t="s">
        <v>1571</v>
      </c>
      <c r="E48" s="135"/>
      <c r="F48" s="135"/>
    </row>
    <row r="49" spans="2:7" x14ac:dyDescent="0.35">
      <c r="B49" s="60">
        <f t="shared" si="0"/>
        <v>2029</v>
      </c>
      <c r="D49" t="s">
        <v>1571</v>
      </c>
      <c r="E49" s="135"/>
      <c r="F49" s="135"/>
    </row>
    <row r="50" spans="2:7" x14ac:dyDescent="0.35">
      <c r="B50" s="60">
        <f t="shared" si="0"/>
        <v>2030</v>
      </c>
      <c r="D50" s="24">
        <f t="shared" ref="D50:D61" si="1">$E$37+$E$29</f>
        <v>533427</v>
      </c>
      <c r="E50" s="135">
        <f>(D50)*((1+$B$42)^($B50-$B$46))</f>
        <v>577398.53981232003</v>
      </c>
      <c r="F50" s="135">
        <f>($E50)*(((1)/((1+$B$43)^($B50-$B$46))))</f>
        <v>513011.12410867767</v>
      </c>
    </row>
    <row r="51" spans="2:7" x14ac:dyDescent="0.35">
      <c r="B51" s="60">
        <f t="shared" si="0"/>
        <v>2031</v>
      </c>
      <c r="D51" s="24">
        <f t="shared" si="1"/>
        <v>533427</v>
      </c>
      <c r="E51" s="135">
        <f>(D51)*((1+$B$42)^($B51-$B$46))</f>
        <v>588946.51060856646</v>
      </c>
      <c r="F51" s="135">
        <f>($E51)*(((1)/((1+$B$43)^($B51-$B$46))))</f>
        <v>508030.43358335074</v>
      </c>
    </row>
    <row r="52" spans="2:7" x14ac:dyDescent="0.35">
      <c r="B52" s="60">
        <f t="shared" si="0"/>
        <v>2032</v>
      </c>
      <c r="D52" s="24">
        <f t="shared" si="1"/>
        <v>533427</v>
      </c>
      <c r="E52" s="135">
        <f>(D52)*((1+$B$42)^($B52-$B$46))</f>
        <v>600725.44082073774</v>
      </c>
      <c r="F52" s="135">
        <f>($E52)*(((1)/((1+$B$43)^($B52-$B$46))))</f>
        <v>503098.09927671618</v>
      </c>
    </row>
    <row r="53" spans="2:7" x14ac:dyDescent="0.35">
      <c r="B53" s="60">
        <f t="shared" si="0"/>
        <v>2033</v>
      </c>
      <c r="D53" s="24">
        <f t="shared" si="1"/>
        <v>533427</v>
      </c>
      <c r="E53" s="135">
        <f t="shared" ref="E53:E71" si="2">(D53)*((1+$B$42)^($B53-$B$46))</f>
        <v>612739.94963715237</v>
      </c>
      <c r="F53" s="135">
        <f>($E53)*(((1)/((1+$B$43)^($B53-$B$46))))</f>
        <v>498213.65171092271</v>
      </c>
    </row>
    <row r="54" spans="2:7" x14ac:dyDescent="0.35">
      <c r="B54" s="60">
        <f t="shared" si="0"/>
        <v>2034</v>
      </c>
      <c r="D54" s="24">
        <f t="shared" si="1"/>
        <v>533427</v>
      </c>
      <c r="E54" s="135">
        <f t="shared" si="2"/>
        <v>624994.7486298955</v>
      </c>
      <c r="F54" s="135">
        <f>($E54)*(((1)/((1+$B$43)^($B54-$B$46))))</f>
        <v>493376.62596615654</v>
      </c>
    </row>
    <row r="55" spans="2:7" x14ac:dyDescent="0.35">
      <c r="B55" s="60">
        <f t="shared" si="0"/>
        <v>2035</v>
      </c>
      <c r="D55" s="24">
        <f t="shared" si="1"/>
        <v>533427</v>
      </c>
      <c r="E55" s="135">
        <f t="shared" si="2"/>
        <v>637494.64360249345</v>
      </c>
      <c r="F55" s="135">
        <f t="shared" ref="F55:F71" si="3">($E55)*(((1)/((1+$B$43)^($B55-$B$46))))</f>
        <v>488586.56163638807</v>
      </c>
    </row>
    <row r="56" spans="2:7" x14ac:dyDescent="0.35">
      <c r="B56" s="60">
        <f t="shared" si="0"/>
        <v>2036</v>
      </c>
      <c r="D56" s="24">
        <f t="shared" si="1"/>
        <v>533427</v>
      </c>
      <c r="E56" s="135">
        <f t="shared" si="2"/>
        <v>650244.53647454327</v>
      </c>
      <c r="F56" s="135">
        <f t="shared" si="3"/>
        <v>483843.00278554932</v>
      </c>
    </row>
    <row r="57" spans="2:7" x14ac:dyDescent="0.35">
      <c r="B57" s="60">
        <f t="shared" si="0"/>
        <v>2037</v>
      </c>
      <c r="D57" s="24">
        <f t="shared" si="1"/>
        <v>533427</v>
      </c>
      <c r="E57" s="135">
        <f t="shared" si="2"/>
        <v>663249.42720403406</v>
      </c>
      <c r="F57" s="135">
        <f t="shared" si="3"/>
        <v>479145.49790413614</v>
      </c>
    </row>
    <row r="58" spans="2:7" x14ac:dyDescent="0.35">
      <c r="B58" s="60">
        <f t="shared" si="0"/>
        <v>2038</v>
      </c>
      <c r="D58" s="24">
        <f t="shared" si="1"/>
        <v>533427</v>
      </c>
      <c r="E58" s="135">
        <f t="shared" si="2"/>
        <v>676514.41574811481</v>
      </c>
      <c r="F58" s="135">
        <f t="shared" si="3"/>
        <v>474493.59986623208</v>
      </c>
    </row>
    <row r="59" spans="2:7" x14ac:dyDescent="0.35">
      <c r="B59" s="60">
        <f t="shared" si="0"/>
        <v>2039</v>
      </c>
      <c r="D59" s="24">
        <f t="shared" si="1"/>
        <v>533427</v>
      </c>
      <c r="E59" s="135">
        <f t="shared" si="2"/>
        <v>690044.70406307711</v>
      </c>
      <c r="F59" s="135">
        <f t="shared" si="3"/>
        <v>469886.86588694825</v>
      </c>
    </row>
    <row r="60" spans="2:7" x14ac:dyDescent="0.35">
      <c r="B60" s="60">
        <f t="shared" si="0"/>
        <v>2040</v>
      </c>
      <c r="D60" s="24">
        <f t="shared" si="1"/>
        <v>533427</v>
      </c>
      <c r="E60" s="135">
        <f t="shared" si="2"/>
        <v>703845.5981443387</v>
      </c>
      <c r="F60" s="135">
        <f t="shared" si="3"/>
        <v>465324.85748027882</v>
      </c>
    </row>
    <row r="61" spans="2:7" x14ac:dyDescent="0.35">
      <c r="B61" s="60">
        <f t="shared" si="0"/>
        <v>2041</v>
      </c>
      <c r="D61" s="24">
        <f t="shared" si="1"/>
        <v>533427</v>
      </c>
      <c r="E61" s="135">
        <f t="shared" si="2"/>
        <v>717922.51010722527</v>
      </c>
      <c r="F61" s="135">
        <f t="shared" si="3"/>
        <v>460807.14041736332</v>
      </c>
    </row>
    <row r="62" spans="2:7" x14ac:dyDescent="0.35">
      <c r="B62" s="60">
        <f t="shared" si="0"/>
        <v>2042</v>
      </c>
      <c r="D62" s="24">
        <f t="shared" ref="D62:D75" si="4">$E$37+$E$29</f>
        <v>533427</v>
      </c>
      <c r="E62" s="135">
        <f t="shared" si="2"/>
        <v>732280.96030936996</v>
      </c>
      <c r="F62" s="135">
        <f t="shared" si="3"/>
        <v>456333.28468515613</v>
      </c>
    </row>
    <row r="63" spans="2:7" x14ac:dyDescent="0.35">
      <c r="B63" s="60">
        <f t="shared" si="0"/>
        <v>2043</v>
      </c>
      <c r="D63" s="24">
        <f t="shared" si="4"/>
        <v>533427</v>
      </c>
      <c r="E63" s="135">
        <f t="shared" si="2"/>
        <v>746926.57951555739</v>
      </c>
      <c r="F63" s="135">
        <f t="shared" si="3"/>
        <v>451902.86444549443</v>
      </c>
    </row>
    <row r="64" spans="2:7" x14ac:dyDescent="0.35">
      <c r="B64" s="60">
        <f t="shared" si="0"/>
        <v>2044</v>
      </c>
      <c r="D64" s="24">
        <f t="shared" si="4"/>
        <v>533427</v>
      </c>
      <c r="E64" s="135">
        <f t="shared" si="2"/>
        <v>761865.11110586848</v>
      </c>
      <c r="F64" s="135">
        <f t="shared" si="3"/>
        <v>447515.45799456723</v>
      </c>
    </row>
    <row r="65" spans="1:7" x14ac:dyDescent="0.35">
      <c r="B65" s="60">
        <f t="shared" si="0"/>
        <v>2045</v>
      </c>
      <c r="D65" s="24">
        <f t="shared" si="4"/>
        <v>533427</v>
      </c>
      <c r="E65" s="135">
        <f t="shared" si="2"/>
        <v>777102.41332798579</v>
      </c>
      <c r="F65" s="135">
        <f t="shared" si="3"/>
        <v>443170.64772277529</v>
      </c>
    </row>
    <row r="66" spans="1:7" x14ac:dyDescent="0.35">
      <c r="B66" s="60">
        <f t="shared" si="0"/>
        <v>2046</v>
      </c>
      <c r="D66" s="24">
        <f t="shared" si="4"/>
        <v>533427</v>
      </c>
      <c r="E66" s="135">
        <f t="shared" si="2"/>
        <v>792644.46159454552</v>
      </c>
      <c r="F66" s="135">
        <f t="shared" si="3"/>
        <v>438868.02007498144</v>
      </c>
    </row>
    <row r="67" spans="1:7" x14ac:dyDescent="0.35">
      <c r="B67" s="60">
        <f t="shared" si="0"/>
        <v>2047</v>
      </c>
      <c r="D67" s="24">
        <f t="shared" si="4"/>
        <v>533427</v>
      </c>
      <c r="E67" s="135">
        <f t="shared" si="2"/>
        <v>808497.35082643642</v>
      </c>
      <c r="F67" s="135">
        <f t="shared" si="3"/>
        <v>434607.16551114665</v>
      </c>
    </row>
    <row r="68" spans="1:7" x14ac:dyDescent="0.35">
      <c r="B68" s="60">
        <f t="shared" si="0"/>
        <v>2048</v>
      </c>
      <c r="D68" s="24">
        <f t="shared" si="4"/>
        <v>533427</v>
      </c>
      <c r="E68" s="135">
        <f t="shared" si="2"/>
        <v>824667.29784296523</v>
      </c>
      <c r="F68" s="135">
        <f t="shared" si="3"/>
        <v>430387.67846734915</v>
      </c>
    </row>
    <row r="69" spans="1:7" x14ac:dyDescent="0.35">
      <c r="B69" s="60">
        <f t="shared" si="0"/>
        <v>2049</v>
      </c>
      <c r="D69" s="24">
        <f t="shared" si="4"/>
        <v>533427</v>
      </c>
      <c r="E69" s="135">
        <f t="shared" si="2"/>
        <v>841160.64379982429</v>
      </c>
      <c r="F69" s="135">
        <f t="shared" si="3"/>
        <v>426209.15731718059</v>
      </c>
    </row>
    <row r="70" spans="1:7" x14ac:dyDescent="0.35">
      <c r="B70" s="60">
        <f>B69+1</f>
        <v>2050</v>
      </c>
      <c r="D70" s="24">
        <f t="shared" si="4"/>
        <v>533427</v>
      </c>
      <c r="E70" s="135">
        <f t="shared" si="2"/>
        <v>857983.85667582089</v>
      </c>
      <c r="F70" s="135">
        <f t="shared" si="3"/>
        <v>422071.20433351875</v>
      </c>
    </row>
    <row r="71" spans="1:7" x14ac:dyDescent="0.35">
      <c r="B71" s="60">
        <f t="shared" ref="B71:B75" si="5">B70+1</f>
        <v>2051</v>
      </c>
      <c r="D71" s="24">
        <f t="shared" si="4"/>
        <v>533427</v>
      </c>
      <c r="E71" s="135">
        <f t="shared" si="2"/>
        <v>875143.5338093373</v>
      </c>
      <c r="F71" s="135">
        <f t="shared" si="3"/>
        <v>417973.42565066903</v>
      </c>
    </row>
    <row r="72" spans="1:7" x14ac:dyDescent="0.35">
      <c r="B72" s="60">
        <f t="shared" si="5"/>
        <v>2052</v>
      </c>
      <c r="D72" s="24">
        <f t="shared" si="4"/>
        <v>533427</v>
      </c>
      <c r="E72" s="135">
        <f t="shared" ref="E72:E74" si="6">(D72)*((1+$B$42)^($B72-$B$46))</f>
        <v>892646.40448552417</v>
      </c>
      <c r="F72" s="135">
        <f t="shared" ref="F72:F74" si="7">($E72)*(((1)/((1+$B$43)^($B72-$B$46))))</f>
        <v>413915.43122687616</v>
      </c>
    </row>
    <row r="73" spans="1:7" x14ac:dyDescent="0.35">
      <c r="B73" s="60">
        <f t="shared" si="5"/>
        <v>2053</v>
      </c>
      <c r="D73" s="24">
        <f t="shared" si="4"/>
        <v>533427</v>
      </c>
      <c r="E73" s="135">
        <f t="shared" si="6"/>
        <v>910499.33257523447</v>
      </c>
      <c r="F73" s="135">
        <f t="shared" si="7"/>
        <v>409896.83480719768</v>
      </c>
    </row>
    <row r="74" spans="1:7" x14ac:dyDescent="0.35">
      <c r="B74" s="60">
        <f t="shared" si="5"/>
        <v>2054</v>
      </c>
      <c r="D74" s="24">
        <f t="shared" si="4"/>
        <v>533427</v>
      </c>
      <c r="E74" s="135">
        <f t="shared" si="6"/>
        <v>928709.31922673935</v>
      </c>
      <c r="F74" s="135">
        <f t="shared" si="7"/>
        <v>405917.25388673955</v>
      </c>
    </row>
    <row r="75" spans="1:7" x14ac:dyDescent="0.35">
      <c r="B75" s="541">
        <f t="shared" si="5"/>
        <v>2055</v>
      </c>
      <c r="C75" s="20"/>
      <c r="D75" s="127">
        <f t="shared" si="4"/>
        <v>533427</v>
      </c>
      <c r="E75" s="137">
        <f>(D75)*((1+$B$42)^($B75-$B$46))</f>
        <v>947283.50561127393</v>
      </c>
      <c r="F75" s="137">
        <f>($E75)*(((1)/((1+$B$43)^($B75-$B$46))))</f>
        <v>401976.30967424688</v>
      </c>
      <c r="G75" s="20"/>
    </row>
    <row r="76" spans="1:7" x14ac:dyDescent="0.35">
      <c r="B76" s="60"/>
      <c r="D76" s="24"/>
      <c r="E76" s="135"/>
      <c r="F76" s="135"/>
    </row>
    <row r="77" spans="1:7" x14ac:dyDescent="0.35">
      <c r="F77" s="59">
        <f>SUM(F46:F75)</f>
        <v>11838562.196420617</v>
      </c>
    </row>
    <row r="80" spans="1:7" ht="18.5" x14ac:dyDescent="0.45">
      <c r="A80" s="125" t="s">
        <v>1322</v>
      </c>
      <c r="B80" s="95"/>
      <c r="C80" s="125"/>
      <c r="D80" s="125"/>
      <c r="E80" s="267"/>
      <c r="F80" s="475">
        <f>F77</f>
        <v>11838562.196420617</v>
      </c>
    </row>
  </sheetData>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499984740745262"/>
  </sheetPr>
  <dimension ref="A1:Q699"/>
  <sheetViews>
    <sheetView zoomScale="85" zoomScaleNormal="85" workbookViewId="0">
      <selection activeCell="F191" sqref="F191"/>
    </sheetView>
  </sheetViews>
  <sheetFormatPr defaultColWidth="8.81640625" defaultRowHeight="14.5" x14ac:dyDescent="0.35"/>
  <cols>
    <col min="1" max="1" width="48.54296875" customWidth="1"/>
    <col min="2" max="2" width="27.26953125" customWidth="1"/>
    <col min="3" max="3" width="26.453125" customWidth="1"/>
    <col min="4" max="4" width="22.453125" customWidth="1"/>
    <col min="5" max="5" width="16.7265625" customWidth="1"/>
    <col min="6" max="6" width="15.54296875" customWidth="1"/>
    <col min="7" max="7" width="18.26953125" bestFit="1" customWidth="1"/>
    <col min="8" max="8" width="14.453125" bestFit="1" customWidth="1"/>
    <col min="9" max="9" width="16.453125" bestFit="1" customWidth="1"/>
    <col min="10" max="10" width="14.453125" bestFit="1" customWidth="1"/>
    <col min="11" max="11" width="16.453125" bestFit="1" customWidth="1"/>
    <col min="12" max="12" width="21.54296875" bestFit="1" customWidth="1"/>
    <col min="13" max="13" width="19.26953125" bestFit="1" customWidth="1"/>
    <col min="14" max="14" width="23.81640625" bestFit="1" customWidth="1"/>
    <col min="15" max="15" width="16.26953125" bestFit="1" customWidth="1"/>
  </cols>
  <sheetData>
    <row r="1" spans="1:17" x14ac:dyDescent="0.35">
      <c r="A1" s="307" t="s">
        <v>0</v>
      </c>
      <c r="H1" s="60"/>
      <c r="I1" s="60"/>
      <c r="J1" s="60"/>
      <c r="K1" s="60"/>
      <c r="L1" s="60"/>
      <c r="M1" s="60"/>
      <c r="N1" s="60"/>
      <c r="O1" s="60"/>
      <c r="P1" s="60"/>
      <c r="Q1" s="60"/>
    </row>
    <row r="2" spans="1:17" x14ac:dyDescent="0.35">
      <c r="A2" s="308" t="s">
        <v>1</v>
      </c>
      <c r="H2" s="60"/>
      <c r="I2" s="60"/>
      <c r="J2" s="60"/>
      <c r="K2" s="60"/>
      <c r="L2" s="60"/>
      <c r="M2" s="60"/>
      <c r="N2" s="60"/>
      <c r="O2" s="60"/>
      <c r="P2" s="60"/>
      <c r="Q2" s="60"/>
    </row>
    <row r="3" spans="1:17" x14ac:dyDescent="0.35">
      <c r="A3" s="308" t="s">
        <v>971</v>
      </c>
      <c r="H3" s="60"/>
      <c r="I3" s="60"/>
      <c r="J3" s="60"/>
      <c r="K3" s="60"/>
      <c r="L3" s="60"/>
      <c r="M3" s="60"/>
      <c r="N3" s="60"/>
      <c r="O3" s="60"/>
      <c r="P3" s="60"/>
      <c r="Q3" s="60"/>
    </row>
    <row r="4" spans="1:17" x14ac:dyDescent="0.35">
      <c r="A4" s="309" t="s">
        <v>1546</v>
      </c>
      <c r="H4" s="60"/>
      <c r="I4" s="60"/>
      <c r="J4" s="60"/>
      <c r="K4" s="60"/>
      <c r="L4" s="60"/>
      <c r="M4" s="60"/>
      <c r="N4" s="60"/>
      <c r="O4" s="60"/>
      <c r="P4" s="60"/>
      <c r="Q4" s="60"/>
    </row>
    <row r="5" spans="1:17" ht="15" thickBot="1" x14ac:dyDescent="0.4">
      <c r="A5" s="313"/>
      <c r="H5" s="60"/>
      <c r="I5" s="60"/>
      <c r="J5" s="60"/>
      <c r="K5" s="60"/>
      <c r="L5" s="60"/>
      <c r="M5" s="60"/>
      <c r="N5" s="60"/>
      <c r="O5" s="60"/>
      <c r="P5" s="60"/>
      <c r="Q5" s="60"/>
    </row>
    <row r="6" spans="1:17" x14ac:dyDescent="0.35">
      <c r="A6" s="341" t="s">
        <v>1418</v>
      </c>
      <c r="B6" s="8"/>
      <c r="C6" s="8"/>
      <c r="D6" s="8"/>
      <c r="E6" s="8"/>
      <c r="F6" s="8"/>
      <c r="G6" s="543"/>
      <c r="H6" s="17"/>
      <c r="I6" s="60"/>
      <c r="J6" s="60"/>
      <c r="K6" s="60"/>
      <c r="L6" s="60"/>
      <c r="M6" s="60"/>
      <c r="N6" s="60"/>
      <c r="O6" s="60"/>
      <c r="P6" s="60"/>
      <c r="Q6" s="60"/>
    </row>
    <row r="7" spans="1:17" x14ac:dyDescent="0.35">
      <c r="A7" s="11" t="s">
        <v>279</v>
      </c>
      <c r="H7" s="18"/>
      <c r="M7" s="149"/>
      <c r="N7" s="149"/>
      <c r="O7" s="149"/>
      <c r="P7" s="60"/>
      <c r="Q7" s="60"/>
    </row>
    <row r="8" spans="1:17" x14ac:dyDescent="0.35">
      <c r="A8" s="11"/>
      <c r="H8" s="18"/>
      <c r="J8" s="149"/>
      <c r="K8" s="149"/>
      <c r="L8" s="149"/>
      <c r="M8" s="149"/>
      <c r="N8" s="149"/>
      <c r="O8" s="149"/>
      <c r="P8" s="60"/>
      <c r="Q8" s="60"/>
    </row>
    <row r="9" spans="1:17" x14ac:dyDescent="0.35">
      <c r="A9" s="276" t="s">
        <v>802</v>
      </c>
      <c r="B9" s="2"/>
      <c r="C9" s="2"/>
      <c r="D9" s="2"/>
      <c r="H9" s="18"/>
      <c r="J9" s="149"/>
      <c r="K9" s="149"/>
      <c r="L9" s="149"/>
      <c r="M9" s="149"/>
      <c r="N9" s="149"/>
      <c r="O9" s="149"/>
      <c r="P9" s="60"/>
      <c r="Q9" s="60"/>
    </row>
    <row r="10" spans="1:17" x14ac:dyDescent="0.35">
      <c r="A10" s="11"/>
      <c r="B10" s="149" t="s">
        <v>1464</v>
      </c>
      <c r="C10" s="149" t="s">
        <v>1457</v>
      </c>
      <c r="D10" s="149" t="s">
        <v>1469</v>
      </c>
      <c r="H10" s="18"/>
      <c r="J10" s="149"/>
      <c r="K10" s="149"/>
      <c r="L10" s="149"/>
      <c r="M10" s="149"/>
      <c r="N10" s="149"/>
      <c r="O10" s="149"/>
      <c r="P10" s="60"/>
      <c r="Q10" s="60"/>
    </row>
    <row r="11" spans="1:17" x14ac:dyDescent="0.35">
      <c r="A11" s="11"/>
      <c r="B11" s="149" t="s">
        <v>1465</v>
      </c>
      <c r="C11" s="149" t="s">
        <v>1466</v>
      </c>
      <c r="D11" s="149" t="s">
        <v>1467</v>
      </c>
      <c r="H11" s="18"/>
      <c r="J11" s="539"/>
      <c r="K11" s="539"/>
      <c r="L11" s="539"/>
      <c r="M11" s="149"/>
      <c r="N11" s="149"/>
      <c r="O11" s="149"/>
      <c r="P11" s="60"/>
      <c r="Q11" s="60"/>
    </row>
    <row r="12" spans="1:17" x14ac:dyDescent="0.35">
      <c r="A12" s="11" t="s">
        <v>394</v>
      </c>
      <c r="B12" s="432">
        <f>C191</f>
        <v>613388.13130809506</v>
      </c>
      <c r="C12" s="149" t="s">
        <v>1485</v>
      </c>
      <c r="D12" s="149" t="s">
        <v>1485</v>
      </c>
      <c r="H12" s="18"/>
      <c r="J12" s="149"/>
      <c r="K12" s="149"/>
      <c r="L12" s="149"/>
      <c r="M12" s="149"/>
      <c r="N12" s="149"/>
      <c r="O12" s="149"/>
      <c r="P12" s="60"/>
      <c r="Q12" s="60"/>
    </row>
    <row r="13" spans="1:17" x14ac:dyDescent="0.35">
      <c r="A13" s="61" t="s">
        <v>159</v>
      </c>
      <c r="B13" s="432">
        <f>C241</f>
        <v>57375.224999999999</v>
      </c>
      <c r="C13" s="618">
        <f>D241</f>
        <v>272863.25</v>
      </c>
      <c r="D13" s="149" t="s">
        <v>1485</v>
      </c>
      <c r="H13" s="18"/>
      <c r="J13" s="149"/>
      <c r="K13" s="149"/>
      <c r="L13" s="149"/>
      <c r="M13" s="149"/>
      <c r="N13" s="149"/>
      <c r="O13" s="149"/>
      <c r="P13" s="60"/>
      <c r="Q13" s="60"/>
    </row>
    <row r="14" spans="1:17" x14ac:dyDescent="0.35">
      <c r="A14" s="61" t="s">
        <v>180</v>
      </c>
      <c r="B14" s="396">
        <f>C315</f>
        <v>2838407.4355647634</v>
      </c>
      <c r="C14" s="149" t="s">
        <v>1485</v>
      </c>
      <c r="D14" s="149" t="s">
        <v>1485</v>
      </c>
      <c r="H14" s="18"/>
      <c r="J14" s="149"/>
      <c r="K14" s="149"/>
      <c r="L14" s="149"/>
      <c r="M14" s="149"/>
      <c r="N14" s="149"/>
      <c r="O14" s="149"/>
      <c r="P14" s="60"/>
      <c r="Q14" s="60"/>
    </row>
    <row r="15" spans="1:17" x14ac:dyDescent="0.35">
      <c r="A15" s="61" t="s">
        <v>231</v>
      </c>
      <c r="B15" s="396">
        <f>C373</f>
        <v>359417.8008084484</v>
      </c>
      <c r="C15" s="149" t="s">
        <v>1485</v>
      </c>
      <c r="D15" s="149" t="s">
        <v>1485</v>
      </c>
      <c r="H15" s="18"/>
      <c r="J15" s="149"/>
      <c r="K15" s="149"/>
      <c r="L15" s="149"/>
      <c r="M15" s="149"/>
      <c r="N15" s="149"/>
      <c r="O15" s="149"/>
      <c r="P15" s="60"/>
      <c r="Q15" s="60"/>
    </row>
    <row r="16" spans="1:17" x14ac:dyDescent="0.35">
      <c r="A16" s="61" t="s">
        <v>274</v>
      </c>
      <c r="B16" s="556">
        <f>C412</f>
        <v>246090.42340304138</v>
      </c>
      <c r="C16" s="556">
        <f>D412</f>
        <v>35078.337875861864</v>
      </c>
      <c r="D16" s="556">
        <f>E412</f>
        <v>28299.560142783372</v>
      </c>
      <c r="H16" s="18"/>
      <c r="J16" s="149"/>
      <c r="K16" s="149"/>
      <c r="L16" s="149"/>
      <c r="M16" s="149"/>
      <c r="N16" s="149"/>
      <c r="O16" s="149"/>
      <c r="P16" s="60"/>
      <c r="Q16" s="60"/>
    </row>
    <row r="17" spans="1:17" x14ac:dyDescent="0.35">
      <c r="A17" s="540" t="s">
        <v>83</v>
      </c>
      <c r="B17" s="26">
        <f>SUM(B12:B16)</f>
        <v>4114679.0160843483</v>
      </c>
      <c r="C17" s="26">
        <f>SUM(C12:C16)</f>
        <v>307941.58787586185</v>
      </c>
      <c r="D17" s="26">
        <f>SUM(D12:D16)</f>
        <v>28299.560142783372</v>
      </c>
      <c r="H17" s="18"/>
      <c r="J17" s="149"/>
      <c r="K17" s="149"/>
      <c r="L17" s="149"/>
      <c r="M17" s="149"/>
      <c r="N17" s="149"/>
      <c r="O17" s="149"/>
      <c r="P17" s="60"/>
      <c r="Q17" s="60"/>
    </row>
    <row r="18" spans="1:17" x14ac:dyDescent="0.35">
      <c r="A18" s="11"/>
      <c r="H18" s="18"/>
      <c r="J18" s="149"/>
      <c r="K18" s="149"/>
      <c r="L18" s="149"/>
      <c r="M18" s="149"/>
      <c r="N18" s="149"/>
      <c r="O18" s="149"/>
      <c r="P18" s="60"/>
      <c r="Q18" s="60"/>
    </row>
    <row r="19" spans="1:17" x14ac:dyDescent="0.35">
      <c r="A19" s="276" t="s">
        <v>1480</v>
      </c>
      <c r="H19" s="18"/>
      <c r="J19" s="149"/>
      <c r="K19" s="149"/>
      <c r="L19" s="149"/>
      <c r="M19" s="149"/>
      <c r="N19" s="149"/>
      <c r="O19" s="149"/>
      <c r="P19" s="60"/>
      <c r="Q19" s="60"/>
    </row>
    <row r="20" spans="1:17" x14ac:dyDescent="0.35">
      <c r="A20" s="11"/>
      <c r="B20" s="149" t="s">
        <v>1464</v>
      </c>
      <c r="C20" s="149" t="s">
        <v>1457</v>
      </c>
      <c r="D20" s="149" t="s">
        <v>1469</v>
      </c>
      <c r="E20" s="149" t="s">
        <v>1432</v>
      </c>
      <c r="F20" s="149" t="s">
        <v>1433</v>
      </c>
      <c r="G20" s="149" t="s">
        <v>1470</v>
      </c>
      <c r="H20" s="18"/>
      <c r="J20" s="149"/>
      <c r="K20" s="149"/>
      <c r="L20" s="149"/>
      <c r="M20" s="149"/>
      <c r="N20" s="149"/>
      <c r="O20" s="149"/>
      <c r="P20" s="60"/>
      <c r="Q20" s="60"/>
    </row>
    <row r="21" spans="1:17" ht="29" x14ac:dyDescent="0.35">
      <c r="A21" s="544"/>
      <c r="B21" s="545" t="s">
        <v>1475</v>
      </c>
      <c r="C21" s="159" t="s">
        <v>1476</v>
      </c>
      <c r="D21" s="159" t="s">
        <v>1477</v>
      </c>
      <c r="E21" s="159" t="s">
        <v>1478</v>
      </c>
      <c r="F21" s="159" t="s">
        <v>1479</v>
      </c>
      <c r="G21" s="159" t="s">
        <v>1468</v>
      </c>
      <c r="H21" s="18"/>
      <c r="J21" s="149"/>
      <c r="K21" s="149"/>
      <c r="L21" s="149"/>
      <c r="M21" s="149"/>
      <c r="N21" s="149"/>
      <c r="O21" s="149"/>
      <c r="P21" s="60"/>
      <c r="Q21" s="60"/>
    </row>
    <row r="22" spans="1:17" x14ac:dyDescent="0.35">
      <c r="A22" s="11" t="s">
        <v>394</v>
      </c>
      <c r="B22" s="396">
        <f>C495</f>
        <v>75400.651199999993</v>
      </c>
      <c r="C22" s="2" t="s">
        <v>1485</v>
      </c>
      <c r="D22" s="2" t="s">
        <v>871</v>
      </c>
      <c r="E22" s="396">
        <f>D495</f>
        <v>294035.46375</v>
      </c>
      <c r="F22" s="396">
        <f>E495</f>
        <v>51369.849719999998</v>
      </c>
      <c r="G22" s="396">
        <f>F495</f>
        <v>454664.1166364752</v>
      </c>
      <c r="H22" s="18"/>
      <c r="J22" s="149"/>
      <c r="K22" s="149"/>
      <c r="L22" s="149"/>
      <c r="M22" s="149"/>
      <c r="N22" s="149"/>
      <c r="O22" s="149"/>
      <c r="P22" s="60"/>
      <c r="Q22" s="60"/>
    </row>
    <row r="23" spans="1:17" x14ac:dyDescent="0.35">
      <c r="A23" s="61" t="s">
        <v>159</v>
      </c>
      <c r="B23" s="396">
        <f>C514</f>
        <v>3825.0150000000003</v>
      </c>
      <c r="C23" s="2" t="s">
        <v>1485</v>
      </c>
      <c r="D23" s="2" t="s">
        <v>698</v>
      </c>
      <c r="E23" s="396">
        <f>D514</f>
        <v>3825.0150000000003</v>
      </c>
      <c r="F23" s="396">
        <f>E514</f>
        <v>2486.2597500000002</v>
      </c>
      <c r="G23" s="396">
        <f>F514</f>
        <v>26775.105</v>
      </c>
      <c r="H23" s="18"/>
      <c r="J23" s="149"/>
      <c r="K23" s="149"/>
      <c r="L23" s="149"/>
      <c r="M23" s="149"/>
      <c r="N23" s="149"/>
      <c r="O23" s="149"/>
      <c r="P23" s="60"/>
      <c r="Q23" s="60"/>
    </row>
    <row r="24" spans="1:17" x14ac:dyDescent="0.35">
      <c r="A24" s="61" t="s">
        <v>180</v>
      </c>
      <c r="B24" s="396">
        <f>C619</f>
        <v>427434.59369840921</v>
      </c>
      <c r="C24" s="2" t="s">
        <v>1485</v>
      </c>
      <c r="D24" s="2" t="s">
        <v>698</v>
      </c>
      <c r="E24" s="396">
        <f>D619</f>
        <v>523918.31809487555</v>
      </c>
      <c r="F24" s="396">
        <f>E619</f>
        <v>466151.8663377288</v>
      </c>
      <c r="G24" s="396">
        <f>F619</f>
        <v>1348671.7337808327</v>
      </c>
      <c r="H24" s="18"/>
      <c r="J24" s="149"/>
      <c r="K24" s="149"/>
      <c r="L24" s="149"/>
      <c r="M24" s="149"/>
      <c r="N24" s="149"/>
      <c r="O24" s="149"/>
      <c r="P24" s="60"/>
      <c r="Q24" s="60"/>
    </row>
    <row r="25" spans="1:17" x14ac:dyDescent="0.35">
      <c r="A25" s="61" t="s">
        <v>231</v>
      </c>
      <c r="B25" s="396">
        <f>C680</f>
        <v>60786.67957821145</v>
      </c>
      <c r="C25" s="2" t="s">
        <v>1485</v>
      </c>
      <c r="D25" s="2" t="s">
        <v>698</v>
      </c>
      <c r="E25" s="396">
        <f>D680</f>
        <v>108073.23677603975</v>
      </c>
      <c r="F25" s="396">
        <f>E680</f>
        <v>81770.690998301172</v>
      </c>
      <c r="G25" s="396">
        <f>F680</f>
        <v>281417.67503190978</v>
      </c>
      <c r="H25" s="18"/>
      <c r="J25" s="149"/>
      <c r="K25" s="149"/>
      <c r="L25" s="149"/>
      <c r="M25" s="149"/>
      <c r="N25" s="149"/>
      <c r="O25" s="149"/>
      <c r="P25" s="60"/>
      <c r="Q25" s="60"/>
    </row>
    <row r="26" spans="1:17" x14ac:dyDescent="0.35">
      <c r="A26" s="61" t="s">
        <v>274</v>
      </c>
      <c r="B26" s="542">
        <f>C695</f>
        <v>29234.037050279498</v>
      </c>
      <c r="C26" s="542">
        <f>D695</f>
        <v>3267.1138322591701</v>
      </c>
      <c r="D26" s="4" t="s">
        <v>698</v>
      </c>
      <c r="E26" s="542">
        <f>E695</f>
        <v>53347.447581504617</v>
      </c>
      <c r="F26" s="542">
        <f>F695</f>
        <v>38765.437637111252</v>
      </c>
      <c r="G26" s="542">
        <f>G695</f>
        <v>136336.26837872362</v>
      </c>
      <c r="H26" s="18"/>
      <c r="J26" s="149"/>
      <c r="K26" s="149"/>
      <c r="L26" s="149"/>
      <c r="M26" s="149"/>
      <c r="N26" s="149"/>
      <c r="O26" s="149"/>
      <c r="P26" s="60"/>
      <c r="Q26" s="60"/>
    </row>
    <row r="27" spans="1:17" x14ac:dyDescent="0.35">
      <c r="A27" s="540" t="s">
        <v>83</v>
      </c>
      <c r="B27" s="26">
        <f t="shared" ref="B27:G27" si="0">SUM(B22:B26)</f>
        <v>596680.97652690019</v>
      </c>
      <c r="C27" s="26">
        <f t="shared" si="0"/>
        <v>3267.1138322591701</v>
      </c>
      <c r="D27" s="26">
        <f t="shared" si="0"/>
        <v>0</v>
      </c>
      <c r="E27" s="26">
        <f t="shared" si="0"/>
        <v>983199.48120241985</v>
      </c>
      <c r="F27" s="26">
        <f t="shared" si="0"/>
        <v>640544.10444314126</v>
      </c>
      <c r="G27" s="26">
        <f t="shared" si="0"/>
        <v>2247864.8988279412</v>
      </c>
      <c r="H27" s="18"/>
      <c r="J27" s="149"/>
      <c r="K27" s="149"/>
      <c r="L27" s="149"/>
      <c r="M27" s="149"/>
      <c r="N27" s="149"/>
      <c r="O27" s="149"/>
      <c r="P27" s="60"/>
      <c r="Q27" s="60"/>
    </row>
    <row r="28" spans="1:17" x14ac:dyDescent="0.35">
      <c r="A28" s="11"/>
      <c r="H28" s="18"/>
      <c r="J28" s="149"/>
      <c r="K28" s="149"/>
      <c r="L28" s="149"/>
      <c r="M28" s="149"/>
      <c r="N28" s="149"/>
      <c r="O28" s="149"/>
      <c r="P28" s="60"/>
      <c r="Q28" s="60"/>
    </row>
    <row r="29" spans="1:17" x14ac:dyDescent="0.35">
      <c r="A29" s="11"/>
      <c r="E29" s="26"/>
      <c r="H29" s="18"/>
    </row>
    <row r="30" spans="1:17" x14ac:dyDescent="0.35">
      <c r="A30" s="11"/>
      <c r="C30" s="5" t="s">
        <v>1419</v>
      </c>
      <c r="E30" s="342">
        <f>SUM(B17:D17)+(SUM(B27:G27))</f>
        <v>8922476.738935655</v>
      </c>
      <c r="H30" s="18"/>
    </row>
    <row r="31" spans="1:17" ht="15" thickBot="1" x14ac:dyDescent="0.4">
      <c r="A31" s="13"/>
      <c r="B31" s="14"/>
      <c r="C31" s="409" t="s">
        <v>1193</v>
      </c>
      <c r="D31" s="14"/>
      <c r="E31" s="418">
        <f>157*500</f>
        <v>78500</v>
      </c>
      <c r="F31" s="546"/>
      <c r="G31" s="14"/>
      <c r="H31" s="19"/>
    </row>
    <row r="32" spans="1:17" x14ac:dyDescent="0.35">
      <c r="C32" s="5"/>
      <c r="F32" s="519"/>
    </row>
    <row r="33" spans="1:7" x14ac:dyDescent="0.35">
      <c r="A33" s="414" t="s">
        <v>1022</v>
      </c>
      <c r="B33" s="60"/>
      <c r="C33" s="60"/>
      <c r="D33" s="60"/>
      <c r="E33" s="60"/>
      <c r="F33" s="60"/>
      <c r="G33" s="60"/>
    </row>
    <row r="34" spans="1:7" x14ac:dyDescent="0.35">
      <c r="A34" s="433" t="s">
        <v>995</v>
      </c>
      <c r="B34" s="434" t="s">
        <v>1196</v>
      </c>
      <c r="C34" s="434" t="s">
        <v>1216</v>
      </c>
      <c r="D34" s="434" t="s">
        <v>1217</v>
      </c>
      <c r="E34" s="434" t="s">
        <v>1197</v>
      </c>
      <c r="F34" s="434" t="s">
        <v>992</v>
      </c>
      <c r="G34" s="149"/>
    </row>
    <row r="35" spans="1:7" x14ac:dyDescent="0.35">
      <c r="A35" s="435" t="s">
        <v>1005</v>
      </c>
      <c r="B35" s="351"/>
      <c r="C35" s="351">
        <v>11.39007926587832</v>
      </c>
      <c r="D35" s="351">
        <v>37.743927567085251</v>
      </c>
      <c r="E35" s="351"/>
      <c r="F35" s="351">
        <v>49.134006832963571</v>
      </c>
      <c r="G35" s="149"/>
    </row>
    <row r="36" spans="1:7" x14ac:dyDescent="0.35">
      <c r="A36" s="435" t="s">
        <v>1078</v>
      </c>
      <c r="B36" s="351"/>
      <c r="C36" s="351">
        <v>12.85882410510545</v>
      </c>
      <c r="D36" s="351">
        <v>73.606923031613121</v>
      </c>
      <c r="E36" s="351"/>
      <c r="F36" s="351">
        <v>86.465747136718576</v>
      </c>
      <c r="G36" s="264"/>
    </row>
    <row r="37" spans="1:7" x14ac:dyDescent="0.35">
      <c r="A37" s="435" t="s">
        <v>1006</v>
      </c>
      <c r="B37" s="351"/>
      <c r="C37" s="351">
        <v>23.269245562629674</v>
      </c>
      <c r="D37" s="351">
        <v>16.723139020814433</v>
      </c>
      <c r="E37" s="351"/>
      <c r="F37" s="351">
        <v>39.992384583444107</v>
      </c>
      <c r="G37" s="149"/>
    </row>
    <row r="38" spans="1:7" x14ac:dyDescent="0.35">
      <c r="A38" s="435" t="s">
        <v>1079</v>
      </c>
      <c r="B38" s="351"/>
      <c r="C38" s="351"/>
      <c r="D38" s="351">
        <v>47.512764885858864</v>
      </c>
      <c r="E38" s="351"/>
      <c r="F38" s="351">
        <v>47.512764885858864</v>
      </c>
      <c r="G38" s="264"/>
    </row>
    <row r="39" spans="1:7" x14ac:dyDescent="0.35">
      <c r="A39" s="435" t="s">
        <v>1080</v>
      </c>
      <c r="B39" s="351"/>
      <c r="C39" s="351">
        <v>32.205020958443356</v>
      </c>
      <c r="D39" s="351">
        <v>1.3236361083631626E-2</v>
      </c>
      <c r="E39" s="351"/>
      <c r="F39" s="351">
        <v>32.218257319526991</v>
      </c>
      <c r="G39" s="264"/>
    </row>
    <row r="40" spans="1:7" x14ac:dyDescent="0.35">
      <c r="A40" s="435" t="s">
        <v>1009</v>
      </c>
      <c r="B40" s="351">
        <v>64.138039906800785</v>
      </c>
      <c r="C40" s="351"/>
      <c r="D40" s="351"/>
      <c r="E40" s="351">
        <v>19.421474183231584</v>
      </c>
      <c r="F40" s="351">
        <v>83.559514090032366</v>
      </c>
      <c r="G40" s="264"/>
    </row>
    <row r="41" spans="1:7" x14ac:dyDescent="0.35">
      <c r="A41" s="435" t="s">
        <v>1010</v>
      </c>
      <c r="B41" s="351">
        <v>23.385558583907908</v>
      </c>
      <c r="C41" s="351"/>
      <c r="D41" s="351"/>
      <c r="E41" s="351">
        <v>5.0758773687240186</v>
      </c>
      <c r="F41" s="351">
        <v>28.461435952631927</v>
      </c>
      <c r="G41" s="264"/>
    </row>
    <row r="42" spans="1:7" x14ac:dyDescent="0.35">
      <c r="A42" s="435" t="s">
        <v>1004</v>
      </c>
      <c r="B42" s="351">
        <v>18.866373428522248</v>
      </c>
      <c r="C42" s="351"/>
      <c r="D42" s="351"/>
      <c r="E42" s="351">
        <v>16.544974065399188</v>
      </c>
      <c r="F42" s="351">
        <v>35.41134749392144</v>
      </c>
      <c r="G42" s="149"/>
    </row>
    <row r="43" spans="1:7" x14ac:dyDescent="0.35">
      <c r="A43" s="435" t="s">
        <v>1081</v>
      </c>
      <c r="B43" s="351"/>
      <c r="C43" s="351"/>
      <c r="D43" s="351">
        <v>2.17807588817278</v>
      </c>
      <c r="E43" s="351"/>
      <c r="F43" s="351">
        <v>2.17807588817278</v>
      </c>
      <c r="G43" s="264"/>
    </row>
    <row r="44" spans="1:7" x14ac:dyDescent="0.35">
      <c r="A44" s="435" t="s">
        <v>1008</v>
      </c>
      <c r="B44" s="351">
        <v>33.790940669203245</v>
      </c>
      <c r="C44" s="351"/>
      <c r="D44" s="351"/>
      <c r="E44" s="351">
        <v>49.340501350150191</v>
      </c>
      <c r="F44" s="351">
        <v>83.131442019353443</v>
      </c>
      <c r="G44" s="264"/>
    </row>
    <row r="45" spans="1:7" x14ac:dyDescent="0.35">
      <c r="A45" s="435" t="s">
        <v>1012</v>
      </c>
      <c r="B45" s="351">
        <v>3.1790547189011469</v>
      </c>
      <c r="C45" s="351">
        <v>7.5987363418185732</v>
      </c>
      <c r="D45" s="351"/>
      <c r="E45" s="351"/>
      <c r="F45" s="351">
        <v>10.77779106071972</v>
      </c>
      <c r="G45" s="264"/>
    </row>
    <row r="46" spans="1:7" x14ac:dyDescent="0.35">
      <c r="A46" s="435" t="s">
        <v>1013</v>
      </c>
      <c r="B46" s="351">
        <v>6.139121479085631</v>
      </c>
      <c r="C46" s="351">
        <v>8.3681407033174633</v>
      </c>
      <c r="D46" s="351"/>
      <c r="E46" s="351"/>
      <c r="F46" s="351">
        <v>14.507262182403094</v>
      </c>
      <c r="G46" s="264"/>
    </row>
    <row r="47" spans="1:7" x14ac:dyDescent="0.35">
      <c r="A47" s="435" t="s">
        <v>1007</v>
      </c>
      <c r="B47" s="351"/>
      <c r="C47" s="351"/>
      <c r="D47" s="351"/>
      <c r="E47" s="351">
        <v>66.796144073680466</v>
      </c>
      <c r="F47" s="351">
        <v>66.796144073680466</v>
      </c>
      <c r="G47" s="264"/>
    </row>
    <row r="48" spans="1:7" s="5" customFormat="1" x14ac:dyDescent="0.35">
      <c r="A48" s="521" t="s">
        <v>993</v>
      </c>
      <c r="B48" s="430">
        <f>SUM(B35:B47)</f>
        <v>149.49908878642094</v>
      </c>
      <c r="C48" s="430">
        <f>SUM(C35:C47)</f>
        <v>95.690046937192847</v>
      </c>
      <c r="D48" s="430">
        <f>SUM(D35:D47)</f>
        <v>177.7780667546281</v>
      </c>
      <c r="E48" s="430">
        <f>SUM(E35:E47)</f>
        <v>157.17897104118543</v>
      </c>
      <c r="F48" s="430">
        <f>SUM(F35:F47)</f>
        <v>580.14617351942729</v>
      </c>
      <c r="G48" s="498"/>
    </row>
    <row r="49" spans="1:5" x14ac:dyDescent="0.35">
      <c r="A49" s="224" t="s">
        <v>1109</v>
      </c>
      <c r="B49" s="128"/>
      <c r="C49" s="128"/>
      <c r="D49" s="128"/>
      <c r="E49" s="432">
        <f>157*500</f>
        <v>78500</v>
      </c>
    </row>
    <row r="50" spans="1:5" x14ac:dyDescent="0.35">
      <c r="A50" s="224" t="s">
        <v>1110</v>
      </c>
      <c r="B50" s="128">
        <f>B48+C48+D48</f>
        <v>422.96720247824192</v>
      </c>
      <c r="C50" s="128"/>
      <c r="D50" s="128"/>
      <c r="E50" s="432"/>
    </row>
    <row r="51" spans="1:5" x14ac:dyDescent="0.35">
      <c r="A51" s="224"/>
      <c r="B51" s="128"/>
      <c r="C51" s="128"/>
      <c r="D51" s="128"/>
      <c r="E51" s="432"/>
    </row>
    <row r="52" spans="1:5" x14ac:dyDescent="0.35">
      <c r="A52" t="s">
        <v>1358</v>
      </c>
      <c r="B52" s="128"/>
    </row>
    <row r="53" spans="1:5" x14ac:dyDescent="0.35">
      <c r="B53" s="128"/>
    </row>
    <row r="54" spans="1:5" ht="29" x14ac:dyDescent="0.35">
      <c r="A54" s="523" t="s">
        <v>995</v>
      </c>
      <c r="B54" s="3" t="s">
        <v>1424</v>
      </c>
    </row>
    <row r="55" spans="1:5" x14ac:dyDescent="0.35">
      <c r="A55" s="522" t="s">
        <v>1005</v>
      </c>
      <c r="B55" s="351">
        <f t="shared" ref="B55:B66" si="1">SUM(B35:D35)</f>
        <v>49.134006832963571</v>
      </c>
      <c r="C55" s="50"/>
      <c r="D55" s="50"/>
      <c r="E55" s="50"/>
    </row>
    <row r="56" spans="1:5" x14ac:dyDescent="0.35">
      <c r="A56" s="435" t="s">
        <v>1078</v>
      </c>
      <c r="B56" s="351">
        <f t="shared" si="1"/>
        <v>86.465747136718576</v>
      </c>
      <c r="C56" s="50"/>
      <c r="D56" s="50"/>
      <c r="E56" s="50"/>
    </row>
    <row r="57" spans="1:5" x14ac:dyDescent="0.35">
      <c r="A57" s="435" t="s">
        <v>1006</v>
      </c>
      <c r="B57" s="351">
        <f t="shared" si="1"/>
        <v>39.992384583444107</v>
      </c>
      <c r="C57" s="50"/>
      <c r="D57" s="50"/>
      <c r="E57" s="50"/>
    </row>
    <row r="58" spans="1:5" x14ac:dyDescent="0.35">
      <c r="A58" s="435" t="s">
        <v>1079</v>
      </c>
      <c r="B58" s="351">
        <f t="shared" si="1"/>
        <v>47.512764885858864</v>
      </c>
      <c r="C58" s="50"/>
      <c r="D58" s="50"/>
      <c r="E58" s="50"/>
    </row>
    <row r="59" spans="1:5" x14ac:dyDescent="0.35">
      <c r="A59" s="435" t="s">
        <v>1080</v>
      </c>
      <c r="B59" s="351">
        <f t="shared" si="1"/>
        <v>32.218257319526991</v>
      </c>
      <c r="C59" s="50"/>
      <c r="D59" s="50"/>
      <c r="E59" s="50"/>
    </row>
    <row r="60" spans="1:5" x14ac:dyDescent="0.35">
      <c r="A60" s="435" t="s">
        <v>1009</v>
      </c>
      <c r="B60" s="351">
        <f t="shared" si="1"/>
        <v>64.138039906800785</v>
      </c>
      <c r="C60" s="50"/>
      <c r="D60" s="50"/>
      <c r="E60" s="50"/>
    </row>
    <row r="61" spans="1:5" x14ac:dyDescent="0.35">
      <c r="A61" s="435" t="s">
        <v>1010</v>
      </c>
      <c r="B61" s="351">
        <f t="shared" si="1"/>
        <v>23.385558583907908</v>
      </c>
      <c r="C61" s="50"/>
      <c r="D61" s="50"/>
      <c r="E61" s="50"/>
    </row>
    <row r="62" spans="1:5" x14ac:dyDescent="0.35">
      <c r="A62" s="435" t="s">
        <v>1004</v>
      </c>
      <c r="B62" s="351">
        <f t="shared" si="1"/>
        <v>18.866373428522248</v>
      </c>
      <c r="C62" s="50"/>
      <c r="D62" s="50"/>
      <c r="E62" s="50"/>
    </row>
    <row r="63" spans="1:5" x14ac:dyDescent="0.35">
      <c r="A63" s="435" t="s">
        <v>1081</v>
      </c>
      <c r="B63" s="351">
        <f t="shared" si="1"/>
        <v>2.17807588817278</v>
      </c>
      <c r="C63" s="50"/>
      <c r="D63" s="50"/>
      <c r="E63" s="50"/>
    </row>
    <row r="64" spans="1:5" x14ac:dyDescent="0.35">
      <c r="A64" s="435" t="s">
        <v>1008</v>
      </c>
      <c r="B64" s="351">
        <f t="shared" si="1"/>
        <v>33.790940669203245</v>
      </c>
      <c r="C64" s="50"/>
      <c r="D64" s="50"/>
      <c r="E64" s="50"/>
    </row>
    <row r="65" spans="1:5" x14ac:dyDescent="0.35">
      <c r="A65" s="435" t="s">
        <v>1012</v>
      </c>
      <c r="B65" s="351">
        <f t="shared" si="1"/>
        <v>10.77779106071972</v>
      </c>
      <c r="C65" s="50"/>
      <c r="D65" s="50"/>
      <c r="E65" s="50"/>
    </row>
    <row r="66" spans="1:5" x14ac:dyDescent="0.35">
      <c r="A66" s="435" t="s">
        <v>1013</v>
      </c>
      <c r="B66" s="351">
        <f t="shared" si="1"/>
        <v>14.507262182403094</v>
      </c>
      <c r="C66" s="50"/>
      <c r="D66" s="50"/>
      <c r="E66" s="50"/>
    </row>
    <row r="67" spans="1:5" x14ac:dyDescent="0.35">
      <c r="A67" s="224"/>
      <c r="B67" s="128"/>
      <c r="C67" s="128"/>
      <c r="D67" s="128"/>
      <c r="E67" s="432"/>
    </row>
    <row r="68" spans="1:5" ht="18.5" x14ac:dyDescent="0.45">
      <c r="A68" s="125" t="s">
        <v>1420</v>
      </c>
      <c r="B68" s="125"/>
      <c r="C68" s="125"/>
    </row>
    <row r="70" spans="1:5" ht="18.5" x14ac:dyDescent="0.45">
      <c r="A70" s="126" t="s">
        <v>802</v>
      </c>
      <c r="B70" s="96"/>
    </row>
    <row r="71" spans="1:5" ht="18.5" x14ac:dyDescent="0.45">
      <c r="A71" s="203"/>
    </row>
    <row r="72" spans="1:5" ht="29" x14ac:dyDescent="0.35">
      <c r="A72" s="523" t="s">
        <v>995</v>
      </c>
      <c r="B72" s="3" t="s">
        <v>1424</v>
      </c>
      <c r="C72" s="2" t="s">
        <v>1458</v>
      </c>
    </row>
    <row r="73" spans="1:5" x14ac:dyDescent="0.35">
      <c r="A73" s="522" t="s">
        <v>1005</v>
      </c>
      <c r="B73" s="351">
        <f>SUM(B58:D58)</f>
        <v>47.512764885858864</v>
      </c>
      <c r="C73" s="2"/>
    </row>
    <row r="74" spans="1:5" x14ac:dyDescent="0.35">
      <c r="A74" s="435" t="s">
        <v>1006</v>
      </c>
      <c r="B74" s="351">
        <f>SUM(B60:D60)</f>
        <v>64.138039906800785</v>
      </c>
      <c r="C74" s="2"/>
    </row>
    <row r="75" spans="1:5" x14ac:dyDescent="0.35">
      <c r="A75" s="435" t="s">
        <v>1078</v>
      </c>
      <c r="B75" s="351">
        <f>SUM(B59:D59)</f>
        <v>32.218257319526991</v>
      </c>
      <c r="C75" s="2">
        <v>52</v>
      </c>
    </row>
    <row r="76" spans="1:5" x14ac:dyDescent="0.35">
      <c r="A76" s="435" t="s">
        <v>1079</v>
      </c>
      <c r="B76" s="351">
        <f>SUM(B61:D61)</f>
        <v>23.385558583907908</v>
      </c>
      <c r="C76" s="2">
        <v>46</v>
      </c>
    </row>
    <row r="77" spans="1:5" x14ac:dyDescent="0.35">
      <c r="A77" s="435" t="s">
        <v>1080</v>
      </c>
      <c r="B77" s="351">
        <f>SUM(B62:D62)</f>
        <v>18.866373428522248</v>
      </c>
      <c r="C77" s="2">
        <v>68</v>
      </c>
    </row>
    <row r="78" spans="1:5" x14ac:dyDescent="0.35">
      <c r="A78" t="s">
        <v>1461</v>
      </c>
    </row>
    <row r="79" spans="1:5" x14ac:dyDescent="0.35">
      <c r="B79" s="21"/>
    </row>
    <row r="80" spans="1:5" x14ac:dyDescent="0.35">
      <c r="A80" s="70"/>
    </row>
    <row r="100" spans="1:5" ht="18.5" x14ac:dyDescent="0.45">
      <c r="A100" s="203"/>
    </row>
    <row r="101" spans="1:5" ht="18.5" x14ac:dyDescent="0.45">
      <c r="A101" s="203"/>
    </row>
    <row r="102" spans="1:5" x14ac:dyDescent="0.35">
      <c r="A102" s="44" t="s">
        <v>394</v>
      </c>
      <c r="B102" s="44"/>
    </row>
    <row r="103" spans="1:5" x14ac:dyDescent="0.35">
      <c r="A103" t="s">
        <v>160</v>
      </c>
    </row>
    <row r="104" spans="1:5" x14ac:dyDescent="0.35">
      <c r="A104" t="s">
        <v>1489</v>
      </c>
    </row>
    <row r="105" spans="1:5" x14ac:dyDescent="0.35">
      <c r="A105" t="s">
        <v>1488</v>
      </c>
    </row>
    <row r="107" spans="1:5" x14ac:dyDescent="0.35">
      <c r="A107" s="522" t="s">
        <v>995</v>
      </c>
      <c r="B107" s="351" t="s">
        <v>745</v>
      </c>
      <c r="C107" s="353" t="s">
        <v>1492</v>
      </c>
    </row>
    <row r="108" spans="1:5" x14ac:dyDescent="0.35">
      <c r="A108" s="522" t="s">
        <v>1490</v>
      </c>
      <c r="B108" s="351">
        <v>47.512764885858864</v>
      </c>
      <c r="C108" s="356">
        <f>B108*1.0525</f>
        <v>50.007185042366451</v>
      </c>
    </row>
    <row r="109" spans="1:5" x14ac:dyDescent="0.35">
      <c r="A109" s="522" t="s">
        <v>1491</v>
      </c>
      <c r="B109" s="351">
        <v>64.138039906800785</v>
      </c>
      <c r="C109" s="352" t="s">
        <v>698</v>
      </c>
    </row>
    <row r="110" spans="1:5" x14ac:dyDescent="0.35">
      <c r="D110" s="69"/>
      <c r="E110" s="107"/>
    </row>
    <row r="111" spans="1:5" x14ac:dyDescent="0.35">
      <c r="A111" t="s">
        <v>1493</v>
      </c>
    </row>
    <row r="112" spans="1:5" x14ac:dyDescent="0.35">
      <c r="A112" s="70" t="s">
        <v>738</v>
      </c>
    </row>
    <row r="113" spans="1:6" x14ac:dyDescent="0.35">
      <c r="A113" s="70" t="s">
        <v>739</v>
      </c>
    </row>
    <row r="114" spans="1:6" x14ac:dyDescent="0.35">
      <c r="A114" s="70" t="s">
        <v>740</v>
      </c>
    </row>
    <row r="115" spans="1:6" x14ac:dyDescent="0.35">
      <c r="A115" s="70" t="s">
        <v>741</v>
      </c>
    </row>
    <row r="117" spans="1:6" x14ac:dyDescent="0.35">
      <c r="A117" t="s">
        <v>717</v>
      </c>
    </row>
    <row r="118" spans="1:6" x14ac:dyDescent="0.35">
      <c r="A118" t="s">
        <v>718</v>
      </c>
    </row>
    <row r="119" spans="1:6" x14ac:dyDescent="0.35">
      <c r="A119" t="s">
        <v>719</v>
      </c>
    </row>
    <row r="120" spans="1:6" x14ac:dyDescent="0.35">
      <c r="A120" t="s">
        <v>720</v>
      </c>
    </row>
    <row r="121" spans="1:6" ht="58" x14ac:dyDescent="0.35">
      <c r="A121" s="198" t="s">
        <v>721</v>
      </c>
      <c r="B121" s="198" t="s">
        <v>722</v>
      </c>
      <c r="C121" s="252" t="s">
        <v>723</v>
      </c>
      <c r="D121" s="252" t="s">
        <v>724</v>
      </c>
      <c r="E121" s="252" t="s">
        <v>725</v>
      </c>
      <c r="F121" s="252" t="s">
        <v>726</v>
      </c>
    </row>
    <row r="122" spans="1:6" x14ac:dyDescent="0.35">
      <c r="A122" s="253">
        <v>5780</v>
      </c>
      <c r="B122" s="253">
        <v>20</v>
      </c>
      <c r="C122" s="246" t="s">
        <v>727</v>
      </c>
      <c r="D122" s="254">
        <v>250</v>
      </c>
      <c r="E122" s="246">
        <v>0</v>
      </c>
      <c r="F122" s="255">
        <f>0.01445*(B122^2)*D122</f>
        <v>1444.9999999999998</v>
      </c>
    </row>
    <row r="123" spans="1:6" x14ac:dyDescent="0.35">
      <c r="A123" s="253">
        <v>5800</v>
      </c>
      <c r="B123" s="253">
        <v>20</v>
      </c>
      <c r="C123" s="246" t="s">
        <v>727</v>
      </c>
      <c r="D123" s="254">
        <v>400</v>
      </c>
      <c r="E123" s="246">
        <v>0</v>
      </c>
      <c r="F123" s="255">
        <f t="shared" ref="F123:F148" si="2">0.01445*(B123^2)*D123</f>
        <v>2311.9999999999995</v>
      </c>
    </row>
    <row r="124" spans="1:6" x14ac:dyDescent="0.35">
      <c r="A124" s="63">
        <v>5820</v>
      </c>
      <c r="B124" s="253">
        <v>20</v>
      </c>
      <c r="C124" s="246" t="s">
        <v>727</v>
      </c>
      <c r="D124" s="63">
        <f>4.25*200</f>
        <v>850</v>
      </c>
      <c r="E124" s="246">
        <v>0</v>
      </c>
      <c r="F124" s="255">
        <f t="shared" si="2"/>
        <v>4912.9999999999991</v>
      </c>
    </row>
    <row r="125" spans="1:6" x14ac:dyDescent="0.35">
      <c r="A125" s="63">
        <v>5840</v>
      </c>
      <c r="B125" s="63">
        <v>20</v>
      </c>
      <c r="C125" s="246">
        <f>6*200</f>
        <v>1200</v>
      </c>
      <c r="D125" s="63">
        <f>5.5*200</f>
        <v>1100</v>
      </c>
      <c r="E125" s="246">
        <f t="shared" ref="E125:E148" si="3">0.0168*(B125^2)*C125</f>
        <v>8064</v>
      </c>
      <c r="F125" s="255">
        <f t="shared" si="2"/>
        <v>6357.9999999999991</v>
      </c>
    </row>
    <row r="126" spans="1:6" x14ac:dyDescent="0.35">
      <c r="A126" s="63">
        <v>5860</v>
      </c>
      <c r="B126" s="63">
        <v>20</v>
      </c>
      <c r="C126" s="246">
        <f>5*200</f>
        <v>1000</v>
      </c>
      <c r="D126" s="63">
        <f>7*200</f>
        <v>1400</v>
      </c>
      <c r="E126" s="246">
        <f t="shared" si="3"/>
        <v>6720</v>
      </c>
      <c r="F126" s="255">
        <f t="shared" si="2"/>
        <v>8091.9999999999991</v>
      </c>
    </row>
    <row r="127" spans="1:6" x14ac:dyDescent="0.35">
      <c r="A127" s="63">
        <v>5880</v>
      </c>
      <c r="B127" s="63">
        <v>20</v>
      </c>
      <c r="C127" s="246">
        <f>4*200</f>
        <v>800</v>
      </c>
      <c r="D127" s="63">
        <f>8*200</f>
        <v>1600</v>
      </c>
      <c r="E127" s="246">
        <f t="shared" si="3"/>
        <v>5376</v>
      </c>
      <c r="F127" s="255">
        <f t="shared" si="2"/>
        <v>9247.9999999999982</v>
      </c>
    </row>
    <row r="128" spans="1:6" x14ac:dyDescent="0.35">
      <c r="A128" s="63">
        <v>5900</v>
      </c>
      <c r="B128" s="63">
        <v>20</v>
      </c>
      <c r="C128" s="246">
        <f>9*200</f>
        <v>1800</v>
      </c>
      <c r="D128" s="63">
        <f>8.25*200</f>
        <v>1650</v>
      </c>
      <c r="E128" s="246">
        <f t="shared" si="3"/>
        <v>12096</v>
      </c>
      <c r="F128" s="255">
        <f t="shared" si="2"/>
        <v>9536.9999999999982</v>
      </c>
    </row>
    <row r="129" spans="1:6" x14ac:dyDescent="0.35">
      <c r="A129" s="63">
        <v>5920</v>
      </c>
      <c r="B129" s="63">
        <v>20</v>
      </c>
      <c r="C129" s="246">
        <f>8*200</f>
        <v>1600</v>
      </c>
      <c r="D129" s="63">
        <f>6.5*200</f>
        <v>1300</v>
      </c>
      <c r="E129" s="246">
        <f t="shared" si="3"/>
        <v>10752</v>
      </c>
      <c r="F129" s="255">
        <f t="shared" si="2"/>
        <v>7513.9999999999991</v>
      </c>
    </row>
    <row r="130" spans="1:6" x14ac:dyDescent="0.35">
      <c r="A130" s="63">
        <v>5940</v>
      </c>
      <c r="B130" s="63">
        <v>20</v>
      </c>
      <c r="C130" s="246">
        <f>15*200</f>
        <v>3000</v>
      </c>
      <c r="D130" s="63">
        <f>6.25*200</f>
        <v>1250</v>
      </c>
      <c r="E130" s="246">
        <f t="shared" si="3"/>
        <v>20160</v>
      </c>
      <c r="F130" s="255">
        <f t="shared" si="2"/>
        <v>7224.9999999999991</v>
      </c>
    </row>
    <row r="131" spans="1:6" x14ac:dyDescent="0.35">
      <c r="A131" s="63">
        <v>5960</v>
      </c>
      <c r="B131" s="63">
        <v>20</v>
      </c>
      <c r="C131" s="246">
        <f>19*200</f>
        <v>3800</v>
      </c>
      <c r="D131" s="63">
        <f>6*200</f>
        <v>1200</v>
      </c>
      <c r="E131" s="246">
        <f t="shared" si="3"/>
        <v>25536</v>
      </c>
      <c r="F131" s="255">
        <f t="shared" si="2"/>
        <v>6935.9999999999991</v>
      </c>
    </row>
    <row r="132" spans="1:6" x14ac:dyDescent="0.35">
      <c r="A132" s="63">
        <v>5980</v>
      </c>
      <c r="B132" s="63">
        <v>20</v>
      </c>
      <c r="C132" s="246">
        <f>19*200</f>
        <v>3800</v>
      </c>
      <c r="D132" s="63">
        <f>22*200</f>
        <v>4400</v>
      </c>
      <c r="E132" s="246">
        <f t="shared" si="3"/>
        <v>25536</v>
      </c>
      <c r="F132" s="255">
        <f t="shared" si="2"/>
        <v>25431.999999999996</v>
      </c>
    </row>
    <row r="133" spans="1:6" x14ac:dyDescent="0.35">
      <c r="A133" s="63">
        <v>6000</v>
      </c>
      <c r="B133" s="63">
        <v>20</v>
      </c>
      <c r="C133" s="246">
        <f>18*200</f>
        <v>3600</v>
      </c>
      <c r="D133" s="63">
        <f>22*200</f>
        <v>4400</v>
      </c>
      <c r="E133" s="246">
        <f t="shared" si="3"/>
        <v>24192</v>
      </c>
      <c r="F133" s="255">
        <f t="shared" si="2"/>
        <v>25431.999999999996</v>
      </c>
    </row>
    <row r="134" spans="1:6" x14ac:dyDescent="0.35">
      <c r="A134" s="63">
        <v>6020</v>
      </c>
      <c r="B134" s="63">
        <v>20</v>
      </c>
      <c r="C134" s="246">
        <f>24*200</f>
        <v>4800</v>
      </c>
      <c r="D134" s="63">
        <f>22.5*200</f>
        <v>4500</v>
      </c>
      <c r="E134" s="246">
        <f t="shared" si="3"/>
        <v>32256</v>
      </c>
      <c r="F134" s="255">
        <f t="shared" si="2"/>
        <v>26009.999999999996</v>
      </c>
    </row>
    <row r="135" spans="1:6" x14ac:dyDescent="0.35">
      <c r="A135" s="63">
        <v>6040</v>
      </c>
      <c r="B135" s="63">
        <v>20</v>
      </c>
      <c r="C135" s="246">
        <f>29*200</f>
        <v>5800</v>
      </c>
      <c r="D135" s="63">
        <f>23*200</f>
        <v>4600</v>
      </c>
      <c r="E135" s="246">
        <f t="shared" si="3"/>
        <v>38976</v>
      </c>
      <c r="F135" s="255">
        <f t="shared" si="2"/>
        <v>26587.999999999996</v>
      </c>
    </row>
    <row r="136" spans="1:6" x14ac:dyDescent="0.35">
      <c r="A136" s="63">
        <v>6060</v>
      </c>
      <c r="B136" s="63">
        <v>20</v>
      </c>
      <c r="C136" s="246">
        <f>30*200</f>
        <v>6000</v>
      </c>
      <c r="D136" s="63">
        <f>24*200</f>
        <v>4800</v>
      </c>
      <c r="E136" s="246">
        <f t="shared" si="3"/>
        <v>40320</v>
      </c>
      <c r="F136" s="255">
        <f t="shared" si="2"/>
        <v>27743.999999999996</v>
      </c>
    </row>
    <row r="137" spans="1:6" x14ac:dyDescent="0.35">
      <c r="A137" s="63">
        <v>6080</v>
      </c>
      <c r="B137" s="63">
        <v>20</v>
      </c>
      <c r="C137" s="246">
        <f>29*200</f>
        <v>5800</v>
      </c>
      <c r="D137" s="63">
        <f>23*200</f>
        <v>4600</v>
      </c>
      <c r="E137" s="246">
        <f t="shared" si="3"/>
        <v>38976</v>
      </c>
      <c r="F137" s="255">
        <f t="shared" si="2"/>
        <v>26587.999999999996</v>
      </c>
    </row>
    <row r="138" spans="1:6" x14ac:dyDescent="0.35">
      <c r="A138" s="63">
        <v>6100</v>
      </c>
      <c r="B138" s="63">
        <v>20</v>
      </c>
      <c r="C138" s="246">
        <f>28*200</f>
        <v>5600</v>
      </c>
      <c r="D138" s="63">
        <f>22*200</f>
        <v>4400</v>
      </c>
      <c r="E138" s="246">
        <f t="shared" si="3"/>
        <v>37632</v>
      </c>
      <c r="F138" s="255">
        <f t="shared" si="2"/>
        <v>25431.999999999996</v>
      </c>
    </row>
    <row r="139" spans="1:6" x14ac:dyDescent="0.35">
      <c r="A139" s="63">
        <v>6120</v>
      </c>
      <c r="B139" s="63">
        <v>20</v>
      </c>
      <c r="C139" s="246">
        <f>13*200</f>
        <v>2600</v>
      </c>
      <c r="D139" s="63">
        <f>10*200</f>
        <v>2000</v>
      </c>
      <c r="E139" s="246">
        <f t="shared" si="3"/>
        <v>17472</v>
      </c>
      <c r="F139" s="255">
        <f t="shared" si="2"/>
        <v>11559.999999999998</v>
      </c>
    </row>
    <row r="140" spans="1:6" x14ac:dyDescent="0.35">
      <c r="A140" s="63">
        <v>6140</v>
      </c>
      <c r="B140" s="63">
        <v>20</v>
      </c>
      <c r="C140" s="246">
        <f>13*200</f>
        <v>2600</v>
      </c>
      <c r="D140" s="63">
        <f>10*200</f>
        <v>2000</v>
      </c>
      <c r="E140" s="246">
        <f t="shared" si="3"/>
        <v>17472</v>
      </c>
      <c r="F140" s="255">
        <f t="shared" si="2"/>
        <v>11559.999999999998</v>
      </c>
    </row>
    <row r="141" spans="1:6" x14ac:dyDescent="0.35">
      <c r="A141" s="63">
        <v>6160</v>
      </c>
      <c r="B141" s="63">
        <v>20</v>
      </c>
      <c r="C141" s="246">
        <f>12*200</f>
        <v>2400</v>
      </c>
      <c r="D141" s="63">
        <f>10*200</f>
        <v>2000</v>
      </c>
      <c r="E141" s="246">
        <f t="shared" si="3"/>
        <v>16128</v>
      </c>
      <c r="F141" s="255">
        <f t="shared" si="2"/>
        <v>11559.999999999998</v>
      </c>
    </row>
    <row r="142" spans="1:6" x14ac:dyDescent="0.35">
      <c r="A142" s="63">
        <v>6180</v>
      </c>
      <c r="B142" s="63">
        <v>20</v>
      </c>
      <c r="C142" s="246">
        <f>11*200</f>
        <v>2200</v>
      </c>
      <c r="D142" s="63">
        <f>9*200</f>
        <v>1800</v>
      </c>
      <c r="E142" s="246">
        <f t="shared" si="3"/>
        <v>14784</v>
      </c>
      <c r="F142" s="255">
        <f t="shared" si="2"/>
        <v>10403.999999999998</v>
      </c>
    </row>
    <row r="143" spans="1:6" x14ac:dyDescent="0.35">
      <c r="A143" s="63">
        <v>6200</v>
      </c>
      <c r="B143" s="63">
        <v>20</v>
      </c>
      <c r="C143" s="246">
        <f>10*200</f>
        <v>2000</v>
      </c>
      <c r="D143" s="63">
        <f>9*200</f>
        <v>1800</v>
      </c>
      <c r="E143" s="246">
        <f t="shared" si="3"/>
        <v>13440</v>
      </c>
      <c r="F143" s="255">
        <f t="shared" si="2"/>
        <v>10403.999999999998</v>
      </c>
    </row>
    <row r="144" spans="1:6" x14ac:dyDescent="0.35">
      <c r="A144" s="63">
        <v>6220</v>
      </c>
      <c r="B144" s="63">
        <v>20</v>
      </c>
      <c r="C144" s="246">
        <v>1900</v>
      </c>
      <c r="D144" s="63">
        <v>1900</v>
      </c>
      <c r="E144" s="246">
        <f t="shared" si="3"/>
        <v>12768</v>
      </c>
      <c r="F144" s="255">
        <f t="shared" si="2"/>
        <v>10981.999999999998</v>
      </c>
    </row>
    <row r="145" spans="1:6" x14ac:dyDescent="0.35">
      <c r="A145" s="63">
        <v>6240</v>
      </c>
      <c r="B145" s="63">
        <v>20</v>
      </c>
      <c r="C145" s="246">
        <v>1800</v>
      </c>
      <c r="D145" s="63">
        <v>1800</v>
      </c>
      <c r="E145" s="246">
        <f t="shared" si="3"/>
        <v>12096</v>
      </c>
      <c r="F145" s="255">
        <f t="shared" si="2"/>
        <v>10403.999999999998</v>
      </c>
    </row>
    <row r="146" spans="1:6" x14ac:dyDescent="0.35">
      <c r="A146" s="63">
        <v>6260</v>
      </c>
      <c r="B146" s="63">
        <v>20</v>
      </c>
      <c r="C146" s="246">
        <v>1700</v>
      </c>
      <c r="D146" s="63">
        <v>1700</v>
      </c>
      <c r="E146" s="246">
        <f t="shared" si="3"/>
        <v>11424</v>
      </c>
      <c r="F146" s="255">
        <f t="shared" si="2"/>
        <v>9825.9999999999982</v>
      </c>
    </row>
    <row r="147" spans="1:6" x14ac:dyDescent="0.35">
      <c r="A147" s="63">
        <v>6280</v>
      </c>
      <c r="B147" s="63">
        <v>20</v>
      </c>
      <c r="C147" s="246">
        <v>1700</v>
      </c>
      <c r="D147" s="63">
        <v>1700</v>
      </c>
      <c r="E147" s="246">
        <f t="shared" si="3"/>
        <v>11424</v>
      </c>
      <c r="F147" s="255">
        <f t="shared" si="2"/>
        <v>9825.9999999999982</v>
      </c>
    </row>
    <row r="148" spans="1:6" ht="16" x14ac:dyDescent="0.5">
      <c r="A148" s="63">
        <v>6300</v>
      </c>
      <c r="B148" s="63">
        <v>20</v>
      </c>
      <c r="C148" s="256">
        <v>1750</v>
      </c>
      <c r="D148" s="257">
        <v>1750</v>
      </c>
      <c r="E148" s="256">
        <f t="shared" si="3"/>
        <v>11760</v>
      </c>
      <c r="F148" s="258">
        <f t="shared" si="2"/>
        <v>10114.999999999998</v>
      </c>
    </row>
    <row r="149" spans="1:6" x14ac:dyDescent="0.35">
      <c r="A149" s="63" t="s">
        <v>83</v>
      </c>
      <c r="B149" s="63"/>
      <c r="C149" s="246">
        <f>SUM(C125:C148)</f>
        <v>69250</v>
      </c>
      <c r="D149" s="63">
        <f>SUM(D122:D148)</f>
        <v>61150</v>
      </c>
      <c r="E149" s="246">
        <f>SUM(E122:E148)</f>
        <v>465360</v>
      </c>
      <c r="F149" s="63">
        <f>SUM(F122:F148)</f>
        <v>353446.99999999994</v>
      </c>
    </row>
    <row r="150" spans="1:6" x14ac:dyDescent="0.35">
      <c r="A150" t="s">
        <v>728</v>
      </c>
      <c r="C150" s="23">
        <f>E149+F149</f>
        <v>818807</v>
      </c>
    </row>
    <row r="151" spans="1:6" x14ac:dyDescent="0.35">
      <c r="A151" t="s">
        <v>31</v>
      </c>
    </row>
    <row r="153" spans="1:6" x14ac:dyDescent="0.35">
      <c r="A153" t="s">
        <v>729</v>
      </c>
    </row>
    <row r="154" spans="1:6" x14ac:dyDescent="0.35">
      <c r="A154" t="s">
        <v>730</v>
      </c>
    </row>
    <row r="155" spans="1:6" x14ac:dyDescent="0.35">
      <c r="A155" t="s">
        <v>731</v>
      </c>
    </row>
    <row r="157" spans="1:6" x14ac:dyDescent="0.35">
      <c r="A157" t="s">
        <v>732</v>
      </c>
    </row>
    <row r="158" spans="1:6" x14ac:dyDescent="0.35">
      <c r="A158" s="25" t="s">
        <v>48</v>
      </c>
    </row>
    <row r="159" spans="1:6" x14ac:dyDescent="0.35">
      <c r="B159" t="s">
        <v>49</v>
      </c>
      <c r="C159" s="25" t="s">
        <v>50</v>
      </c>
    </row>
    <row r="160" spans="1:6" x14ac:dyDescent="0.35">
      <c r="B160" t="s">
        <v>51</v>
      </c>
      <c r="C160" s="25" t="s">
        <v>52</v>
      </c>
    </row>
    <row r="161" spans="1:3" x14ac:dyDescent="0.35">
      <c r="B161" t="s">
        <v>53</v>
      </c>
      <c r="C161" s="25" t="s">
        <v>54</v>
      </c>
    </row>
    <row r="162" spans="1:3" x14ac:dyDescent="0.35">
      <c r="B162" t="s">
        <v>55</v>
      </c>
      <c r="C162" s="247">
        <v>0.9</v>
      </c>
    </row>
    <row r="163" spans="1:3" x14ac:dyDescent="0.35">
      <c r="B163" t="s">
        <v>56</v>
      </c>
      <c r="C163" s="207">
        <v>146950</v>
      </c>
    </row>
    <row r="164" spans="1:3" x14ac:dyDescent="0.35">
      <c r="B164" t="s">
        <v>57</v>
      </c>
      <c r="C164" s="25">
        <v>28</v>
      </c>
    </row>
    <row r="165" spans="1:3" x14ac:dyDescent="0.35">
      <c r="B165" t="s">
        <v>58</v>
      </c>
      <c r="C165" s="248">
        <v>2800</v>
      </c>
    </row>
    <row r="166" spans="1:3" x14ac:dyDescent="0.35">
      <c r="B166" t="s">
        <v>59</v>
      </c>
      <c r="C166" s="25">
        <v>1</v>
      </c>
    </row>
    <row r="167" spans="1:3" x14ac:dyDescent="0.35">
      <c r="A167" s="274" t="s">
        <v>60</v>
      </c>
      <c r="C167" s="25"/>
    </row>
    <row r="168" spans="1:3" x14ac:dyDescent="0.35">
      <c r="B168" t="s">
        <v>61</v>
      </c>
      <c r="C168" s="207">
        <v>6450</v>
      </c>
    </row>
    <row r="169" spans="1:3" x14ac:dyDescent="0.35">
      <c r="B169" t="s">
        <v>62</v>
      </c>
      <c r="C169" s="25">
        <v>1</v>
      </c>
    </row>
    <row r="170" spans="1:3" x14ac:dyDescent="0.35">
      <c r="B170" t="s">
        <v>733</v>
      </c>
      <c r="C170" s="247">
        <v>0.83</v>
      </c>
    </row>
    <row r="171" spans="1:3" x14ac:dyDescent="0.35">
      <c r="B171" t="s">
        <v>64</v>
      </c>
      <c r="C171" s="247">
        <v>0.75</v>
      </c>
    </row>
    <row r="172" spans="1:3" x14ac:dyDescent="0.35">
      <c r="A172" s="274" t="s">
        <v>65</v>
      </c>
      <c r="C172" s="25"/>
    </row>
    <row r="173" spans="1:3" x14ac:dyDescent="0.35">
      <c r="B173" t="s">
        <v>66</v>
      </c>
      <c r="C173" s="25">
        <v>100</v>
      </c>
    </row>
    <row r="174" spans="1:3" x14ac:dyDescent="0.35">
      <c r="B174" t="s">
        <v>67</v>
      </c>
      <c r="C174" s="247">
        <v>0</v>
      </c>
    </row>
    <row r="175" spans="1:3" x14ac:dyDescent="0.35">
      <c r="B175" t="s">
        <v>68</v>
      </c>
      <c r="C175" s="249">
        <f>+C150</f>
        <v>818807</v>
      </c>
    </row>
    <row r="176" spans="1:3" x14ac:dyDescent="0.35">
      <c r="A176" s="25" t="s">
        <v>69</v>
      </c>
      <c r="C176" s="25"/>
    </row>
    <row r="177" spans="1:17" x14ac:dyDescent="0.35">
      <c r="B177" t="s">
        <v>70</v>
      </c>
      <c r="C177" s="118">
        <v>1500</v>
      </c>
    </row>
    <row r="178" spans="1:17" x14ac:dyDescent="0.35">
      <c r="B178" t="s">
        <v>292</v>
      </c>
      <c r="C178" s="98">
        <f>C177*C170*C171*C162</f>
        <v>840.375</v>
      </c>
    </row>
    <row r="179" spans="1:17" x14ac:dyDescent="0.35">
      <c r="B179" t="s">
        <v>71</v>
      </c>
      <c r="C179" s="249">
        <f>C175/C178</f>
        <v>974.33526699390154</v>
      </c>
    </row>
    <row r="180" spans="1:17" x14ac:dyDescent="0.35">
      <c r="B180" t="s">
        <v>396</v>
      </c>
      <c r="C180" s="547">
        <f>+C179/2</f>
        <v>487.16763349695077</v>
      </c>
      <c r="F180" s="250"/>
    </row>
    <row r="181" spans="1:17" x14ac:dyDescent="0.35">
      <c r="B181" t="s">
        <v>397</v>
      </c>
      <c r="C181" s="531">
        <f>C180*'Rates 2020'!$J$11*2</f>
        <v>485540.49360107095</v>
      </c>
      <c r="D181" s="266"/>
      <c r="E181" s="107"/>
    </row>
    <row r="182" spans="1:17" x14ac:dyDescent="0.35">
      <c r="E182" s="26"/>
    </row>
    <row r="183" spans="1:17" x14ac:dyDescent="0.35">
      <c r="A183" t="s">
        <v>734</v>
      </c>
      <c r="E183" s="26"/>
    </row>
    <row r="184" spans="1:17" x14ac:dyDescent="0.35">
      <c r="A184" t="s">
        <v>735</v>
      </c>
      <c r="C184" s="21">
        <f>B109</f>
        <v>64.138039906800785</v>
      </c>
    </row>
    <row r="185" spans="1:17" x14ac:dyDescent="0.35">
      <c r="A185" t="s">
        <v>398</v>
      </c>
      <c r="C185">
        <v>0.5</v>
      </c>
    </row>
    <row r="186" spans="1:17" x14ac:dyDescent="0.35">
      <c r="A186" t="s">
        <v>736</v>
      </c>
      <c r="C186" s="555">
        <f>C184/C185</f>
        <v>128.27607981360157</v>
      </c>
    </row>
    <row r="187" spans="1:17" x14ac:dyDescent="0.35">
      <c r="A187" t="s">
        <v>737</v>
      </c>
      <c r="C187" s="532">
        <f>C186*'Rates 2020'!$J$11*2</f>
        <v>127847.63770702414</v>
      </c>
    </row>
    <row r="188" spans="1:17" x14ac:dyDescent="0.35">
      <c r="C188" s="532"/>
    </row>
    <row r="189" spans="1:17" ht="15.5" x14ac:dyDescent="0.35">
      <c r="A189" s="260"/>
      <c r="B189" s="261"/>
      <c r="C189" s="149" t="s">
        <v>1464</v>
      </c>
    </row>
    <row r="190" spans="1:17" ht="15.5" x14ac:dyDescent="0.35">
      <c r="A190" s="260"/>
      <c r="B190" s="261"/>
      <c r="C190" s="149" t="s">
        <v>1465</v>
      </c>
    </row>
    <row r="191" spans="1:17" s="5" customFormat="1" x14ac:dyDescent="0.35">
      <c r="A191" s="449" t="s">
        <v>1495</v>
      </c>
      <c r="B191" s="449"/>
      <c r="C191" s="383">
        <f>C181+C187</f>
        <v>613388.13130809506</v>
      </c>
      <c r="Q191"/>
    </row>
    <row r="192" spans="1:17" ht="15.5" x14ac:dyDescent="0.35">
      <c r="A192" s="261"/>
      <c r="B192" s="262"/>
    </row>
    <row r="193" spans="1:8" ht="15.5" x14ac:dyDescent="0.35">
      <c r="A193" s="261"/>
      <c r="B193" s="262"/>
    </row>
    <row r="194" spans="1:8" x14ac:dyDescent="0.35">
      <c r="A194" s="121" t="s">
        <v>159</v>
      </c>
      <c r="B194" s="44"/>
      <c r="C194" s="44"/>
      <c r="H194" s="149"/>
    </row>
    <row r="195" spans="1:8" x14ac:dyDescent="0.35">
      <c r="A195" t="s">
        <v>160</v>
      </c>
      <c r="H195" s="149"/>
    </row>
    <row r="196" spans="1:8" x14ac:dyDescent="0.35">
      <c r="A196" t="s">
        <v>161</v>
      </c>
    </row>
    <row r="197" spans="1:8" x14ac:dyDescent="0.35">
      <c r="A197" t="s">
        <v>162</v>
      </c>
    </row>
    <row r="199" spans="1:8" x14ac:dyDescent="0.35">
      <c r="A199" t="s">
        <v>163</v>
      </c>
    </row>
    <row r="200" spans="1:8" x14ac:dyDescent="0.35">
      <c r="A200" t="s">
        <v>164</v>
      </c>
    </row>
    <row r="201" spans="1:8" x14ac:dyDescent="0.35">
      <c r="C201" s="149" t="s">
        <v>1464</v>
      </c>
      <c r="D201" s="149" t="s">
        <v>1457</v>
      </c>
    </row>
    <row r="202" spans="1:8" x14ac:dyDescent="0.35">
      <c r="C202" s="149" t="s">
        <v>1465</v>
      </c>
      <c r="D202" s="149" t="s">
        <v>1466</v>
      </c>
    </row>
    <row r="203" spans="1:8" x14ac:dyDescent="0.35">
      <c r="A203" t="s">
        <v>165</v>
      </c>
      <c r="C203" s="22">
        <v>15000</v>
      </c>
      <c r="D203" s="22">
        <v>11000</v>
      </c>
    </row>
    <row r="204" spans="1:8" x14ac:dyDescent="0.35">
      <c r="A204" t="s">
        <v>166</v>
      </c>
      <c r="C204">
        <v>100</v>
      </c>
      <c r="D204">
        <v>100</v>
      </c>
    </row>
    <row r="205" spans="1:8" x14ac:dyDescent="0.35">
      <c r="A205" t="s">
        <v>167</v>
      </c>
      <c r="C205" s="24">
        <f>C203/C204</f>
        <v>150</v>
      </c>
      <c r="D205" s="24">
        <f>D203/D204</f>
        <v>110</v>
      </c>
    </row>
    <row r="206" spans="1:8" x14ac:dyDescent="0.35">
      <c r="A206" t="s">
        <v>168</v>
      </c>
      <c r="C206" s="59">
        <f>C205*'Rates 2020'!$J$13</f>
        <v>49891.5</v>
      </c>
      <c r="D206" s="59">
        <f>D205*'Rates 2020'!$J$13</f>
        <v>36587.1</v>
      </c>
    </row>
    <row r="207" spans="1:8" x14ac:dyDescent="0.35">
      <c r="A207" t="s">
        <v>169</v>
      </c>
      <c r="C207" s="548">
        <f>+C206*0.15</f>
        <v>7483.7249999999995</v>
      </c>
      <c r="D207" s="548">
        <f>+D206*0.15</f>
        <v>5488.0649999999996</v>
      </c>
    </row>
    <row r="208" spans="1:8" x14ac:dyDescent="0.35">
      <c r="A208" t="s">
        <v>170</v>
      </c>
      <c r="C208" s="45">
        <f>SUM(C206:C207)</f>
        <v>57375.224999999999</v>
      </c>
      <c r="D208" s="45">
        <f>SUM(D206:D207)</f>
        <v>42075.165000000001</v>
      </c>
    </row>
    <row r="209" spans="1:4" ht="15.5" x14ac:dyDescent="0.35">
      <c r="A209" s="260"/>
      <c r="B209" s="261"/>
      <c r="C209" s="262"/>
    </row>
    <row r="210" spans="1:4" x14ac:dyDescent="0.35">
      <c r="A210" s="60" t="s">
        <v>171</v>
      </c>
      <c r="B210" s="60"/>
      <c r="C210" s="549">
        <f>C208</f>
        <v>57375.224999999999</v>
      </c>
      <c r="D210" s="549">
        <f>D208</f>
        <v>42075.165000000001</v>
      </c>
    </row>
    <row r="211" spans="1:4" ht="15.5" x14ac:dyDescent="0.35">
      <c r="A211" s="260"/>
      <c r="B211" s="261"/>
      <c r="C211" s="262"/>
    </row>
    <row r="212" spans="1:4" x14ac:dyDescent="0.35">
      <c r="A212" s="121" t="s">
        <v>887</v>
      </c>
      <c r="B212" s="121"/>
    </row>
    <row r="214" spans="1:4" x14ac:dyDescent="0.35">
      <c r="A214" t="s">
        <v>1494</v>
      </c>
    </row>
    <row r="215" spans="1:4" x14ac:dyDescent="0.35">
      <c r="A215" t="s">
        <v>754</v>
      </c>
    </row>
    <row r="216" spans="1:4" x14ac:dyDescent="0.35">
      <c r="A216" t="s">
        <v>755</v>
      </c>
    </row>
    <row r="217" spans="1:4" x14ac:dyDescent="0.35">
      <c r="A217" t="s">
        <v>777</v>
      </c>
    </row>
    <row r="218" spans="1:4" x14ac:dyDescent="0.35">
      <c r="A218" t="s">
        <v>756</v>
      </c>
    </row>
    <row r="219" spans="1:4" x14ac:dyDescent="0.35">
      <c r="A219" t="s">
        <v>757</v>
      </c>
    </row>
    <row r="220" spans="1:4" x14ac:dyDescent="0.35">
      <c r="A220" t="s">
        <v>758</v>
      </c>
    </row>
    <row r="221" spans="1:4" x14ac:dyDescent="0.35">
      <c r="A221" t="s">
        <v>759</v>
      </c>
    </row>
    <row r="222" spans="1:4" x14ac:dyDescent="0.35">
      <c r="A222" t="s">
        <v>760</v>
      </c>
    </row>
    <row r="223" spans="1:4" x14ac:dyDescent="0.35">
      <c r="A223" t="s">
        <v>761</v>
      </c>
    </row>
    <row r="224" spans="1:4" x14ac:dyDescent="0.35">
      <c r="A224" t="s">
        <v>762</v>
      </c>
    </row>
    <row r="225" spans="1:4" x14ac:dyDescent="0.35">
      <c r="A225" t="s">
        <v>763</v>
      </c>
    </row>
    <row r="226" spans="1:4" x14ac:dyDescent="0.35">
      <c r="A226" t="s">
        <v>764</v>
      </c>
    </row>
    <row r="227" spans="1:4" x14ac:dyDescent="0.35">
      <c r="A227" t="s">
        <v>765</v>
      </c>
    </row>
    <row r="228" spans="1:4" x14ac:dyDescent="0.35">
      <c r="A228" t="s">
        <v>898</v>
      </c>
    </row>
    <row r="229" spans="1:4" x14ac:dyDescent="0.35">
      <c r="A229" t="s">
        <v>766</v>
      </c>
    </row>
    <row r="230" spans="1:4" x14ac:dyDescent="0.35">
      <c r="D230" s="149" t="s">
        <v>1457</v>
      </c>
    </row>
    <row r="231" spans="1:4" x14ac:dyDescent="0.35">
      <c r="D231" s="149" t="s">
        <v>1466</v>
      </c>
    </row>
    <row r="232" spans="1:4" x14ac:dyDescent="0.35">
      <c r="A232" t="s">
        <v>767</v>
      </c>
      <c r="D232" s="24">
        <v>11000</v>
      </c>
    </row>
    <row r="233" spans="1:4" x14ac:dyDescent="0.35">
      <c r="A233" t="s">
        <v>768</v>
      </c>
      <c r="D233" s="24">
        <v>3300</v>
      </c>
    </row>
    <row r="234" spans="1:4" x14ac:dyDescent="0.35">
      <c r="A234" t="s">
        <v>769</v>
      </c>
      <c r="D234">
        <v>60</v>
      </c>
    </row>
    <row r="235" spans="1:4" x14ac:dyDescent="0.35">
      <c r="A235" t="s">
        <v>168</v>
      </c>
      <c r="D235" s="26">
        <v>198000</v>
      </c>
    </row>
    <row r="236" spans="1:4" x14ac:dyDescent="0.35">
      <c r="A236" t="s">
        <v>770</v>
      </c>
      <c r="D236" s="97">
        <v>29700</v>
      </c>
    </row>
    <row r="237" spans="1:4" x14ac:dyDescent="0.35">
      <c r="A237" t="s">
        <v>170</v>
      </c>
      <c r="D237" s="26">
        <v>227700</v>
      </c>
    </row>
    <row r="238" spans="1:4" x14ac:dyDescent="0.35">
      <c r="D238" s="26"/>
    </row>
    <row r="239" spans="1:4" x14ac:dyDescent="0.35">
      <c r="C239" s="149" t="s">
        <v>1464</v>
      </c>
      <c r="D239" s="149" t="s">
        <v>1457</v>
      </c>
    </row>
    <row r="240" spans="1:4" x14ac:dyDescent="0.35">
      <c r="C240" s="149" t="s">
        <v>1465</v>
      </c>
      <c r="D240" s="149" t="s">
        <v>1466</v>
      </c>
    </row>
    <row r="241" spans="1:10" x14ac:dyDescent="0.35">
      <c r="A241" s="294" t="s">
        <v>171</v>
      </c>
      <c r="B241" s="294"/>
      <c r="C241" s="393">
        <f>C210</f>
        <v>57375.224999999999</v>
      </c>
      <c r="D241" s="393">
        <v>272863.25</v>
      </c>
    </row>
    <row r="242" spans="1:10" ht="15.5" x14ac:dyDescent="0.35">
      <c r="A242" s="261"/>
      <c r="B242" s="262"/>
      <c r="J242" s="26"/>
    </row>
    <row r="243" spans="1:10" ht="15.5" x14ac:dyDescent="0.35">
      <c r="A243" s="261"/>
      <c r="B243" s="262"/>
      <c r="J243" s="26"/>
    </row>
    <row r="244" spans="1:10" x14ac:dyDescent="0.35">
      <c r="A244" s="121" t="s">
        <v>180</v>
      </c>
      <c r="B244" s="44"/>
    </row>
    <row r="245" spans="1:10" ht="15.5" x14ac:dyDescent="0.35">
      <c r="A245" t="s">
        <v>160</v>
      </c>
      <c r="B245" s="261"/>
      <c r="C245" s="262"/>
    </row>
    <row r="246" spans="1:10" ht="15.5" x14ac:dyDescent="0.35">
      <c r="A246" t="s">
        <v>181</v>
      </c>
      <c r="B246" s="261"/>
      <c r="C246" s="262"/>
    </row>
    <row r="247" spans="1:10" ht="15.5" x14ac:dyDescent="0.35">
      <c r="A247" t="s">
        <v>742</v>
      </c>
      <c r="B247" s="261"/>
      <c r="C247" s="262"/>
    </row>
    <row r="248" spans="1:10" ht="15.5" x14ac:dyDescent="0.35">
      <c r="B248" s="261"/>
      <c r="C248" s="262"/>
    </row>
    <row r="249" spans="1:10" ht="15.5" x14ac:dyDescent="0.35">
      <c r="A249" s="260"/>
      <c r="B249" s="261"/>
      <c r="C249" s="262"/>
      <c r="D249" s="149" t="s">
        <v>1464</v>
      </c>
    </row>
    <row r="250" spans="1:10" x14ac:dyDescent="0.35">
      <c r="A250" t="s">
        <v>743</v>
      </c>
      <c r="D250" s="149" t="s">
        <v>1465</v>
      </c>
    </row>
    <row r="251" spans="1:10" ht="29" x14ac:dyDescent="0.35">
      <c r="A251" s="149" t="s">
        <v>744</v>
      </c>
      <c r="B251" s="149" t="s">
        <v>1498</v>
      </c>
      <c r="C251" s="149" t="s">
        <v>746</v>
      </c>
      <c r="D251" s="159" t="s">
        <v>747</v>
      </c>
    </row>
    <row r="252" spans="1:10" x14ac:dyDescent="0.35">
      <c r="A252" s="2" t="s">
        <v>751</v>
      </c>
      <c r="B252" s="51">
        <f>C108</f>
        <v>50.007185042366451</v>
      </c>
      <c r="C252" s="51">
        <v>20</v>
      </c>
      <c r="D252" s="22">
        <f>(B252*43560*(C252/12))/27</f>
        <v>134463.76422502979</v>
      </c>
    </row>
    <row r="253" spans="1:10" x14ac:dyDescent="0.35">
      <c r="A253" s="2" t="s">
        <v>752</v>
      </c>
      <c r="B253" s="550">
        <f>B109</f>
        <v>64.138039906800785</v>
      </c>
      <c r="C253" s="411">
        <v>28</v>
      </c>
      <c r="D253" s="263">
        <f>(B253*43560*(C253/12))/27</f>
        <v>241444.08800471228</v>
      </c>
    </row>
    <row r="254" spans="1:10" x14ac:dyDescent="0.35">
      <c r="A254" s="2" t="s">
        <v>83</v>
      </c>
      <c r="B254" s="51">
        <f>B252+B253</f>
        <v>114.14522494916724</v>
      </c>
      <c r="C254" s="51"/>
      <c r="D254" s="212">
        <f>D252+D253</f>
        <v>375907.8522297421</v>
      </c>
    </row>
    <row r="256" spans="1:10" ht="15.5" x14ac:dyDescent="0.35">
      <c r="A256" t="s">
        <v>748</v>
      </c>
      <c r="B256" s="261"/>
      <c r="C256" s="262"/>
      <c r="D256" s="24">
        <f>D254</f>
        <v>375907.8522297421</v>
      </c>
    </row>
    <row r="257" spans="1:4" x14ac:dyDescent="0.35">
      <c r="A257" t="s">
        <v>172</v>
      </c>
      <c r="B257" s="2"/>
      <c r="C257" s="51"/>
      <c r="D257" s="551">
        <f>D256*1.15</f>
        <v>432294.03006420337</v>
      </c>
    </row>
    <row r="258" spans="1:4" x14ac:dyDescent="0.35">
      <c r="A258" t="s">
        <v>173</v>
      </c>
      <c r="D258" s="23">
        <v>3300</v>
      </c>
    </row>
    <row r="259" spans="1:4" x14ac:dyDescent="0.35">
      <c r="A259" t="s">
        <v>749</v>
      </c>
      <c r="D259" s="23">
        <f>(D257*D258)/2000</f>
        <v>713285.14960593556</v>
      </c>
    </row>
    <row r="260" spans="1:4" x14ac:dyDescent="0.35">
      <c r="A260" t="s">
        <v>792</v>
      </c>
      <c r="D260" s="23">
        <f>2.5*5280</f>
        <v>13200</v>
      </c>
    </row>
    <row r="261" spans="1:4" ht="15.5" x14ac:dyDescent="0.35">
      <c r="A261" s="260"/>
      <c r="B261" s="261"/>
      <c r="C261" s="262"/>
    </row>
    <row r="262" spans="1:4" ht="15.5" x14ac:dyDescent="0.35">
      <c r="A262" t="s">
        <v>175</v>
      </c>
      <c r="B262" s="261"/>
      <c r="C262" s="262"/>
    </row>
    <row r="263" spans="1:4" ht="15.5" x14ac:dyDescent="0.35">
      <c r="A263" s="60" t="s">
        <v>1481</v>
      </c>
      <c r="B263" s="261"/>
      <c r="C263" s="262"/>
    </row>
    <row r="264" spans="1:4" ht="15.5" x14ac:dyDescent="0.35">
      <c r="A264" s="60"/>
      <c r="B264" s="261"/>
      <c r="C264" s="262"/>
    </row>
    <row r="265" spans="1:4" x14ac:dyDescent="0.35">
      <c r="A265" s="60" t="s">
        <v>211</v>
      </c>
    </row>
    <row r="266" spans="1:4" x14ac:dyDescent="0.35">
      <c r="A266" s="60" t="s">
        <v>212</v>
      </c>
      <c r="D266" s="70">
        <v>12</v>
      </c>
    </row>
    <row r="267" spans="1:4" x14ac:dyDescent="0.35">
      <c r="A267" s="60" t="s">
        <v>213</v>
      </c>
      <c r="D267" s="70">
        <v>20</v>
      </c>
    </row>
    <row r="268" spans="1:4" x14ac:dyDescent="0.35">
      <c r="A268" s="60"/>
      <c r="D268" s="70"/>
    </row>
    <row r="269" spans="1:4" ht="15.5" x14ac:dyDescent="0.35">
      <c r="A269" s="52"/>
      <c r="B269" s="149" t="s">
        <v>1464</v>
      </c>
    </row>
    <row r="270" spans="1:4" x14ac:dyDescent="0.35">
      <c r="A270" s="79" t="s">
        <v>183</v>
      </c>
      <c r="B270" s="149" t="s">
        <v>1465</v>
      </c>
    </row>
    <row r="271" spans="1:4" x14ac:dyDescent="0.35">
      <c r="A271" t="s">
        <v>184</v>
      </c>
      <c r="B271">
        <v>2.4500000000000002</v>
      </c>
    </row>
    <row r="272" spans="1:4" x14ac:dyDescent="0.35">
      <c r="A272" t="s">
        <v>185</v>
      </c>
      <c r="B272" s="21">
        <f>D260/((D266*5280)/60)</f>
        <v>12.5</v>
      </c>
    </row>
    <row r="273" spans="1:4" x14ac:dyDescent="0.35">
      <c r="A273" t="s">
        <v>186</v>
      </c>
      <c r="B273">
        <v>1.6</v>
      </c>
    </row>
    <row r="274" spans="1:4" x14ac:dyDescent="0.35">
      <c r="A274" t="s">
        <v>187</v>
      </c>
      <c r="B274" s="54">
        <f>D260/((D267*5280)/60)</f>
        <v>7.5</v>
      </c>
    </row>
    <row r="275" spans="1:4" x14ac:dyDescent="0.35">
      <c r="A275" t="s">
        <v>188</v>
      </c>
      <c r="B275" s="55">
        <f>SUM(B271:B274)</f>
        <v>24.05</v>
      </c>
    </row>
    <row r="276" spans="1:4" x14ac:dyDescent="0.35">
      <c r="A276" t="s">
        <v>189</v>
      </c>
      <c r="B276">
        <v>0</v>
      </c>
    </row>
    <row r="277" spans="1:4" x14ac:dyDescent="0.35">
      <c r="A277" t="s">
        <v>190</v>
      </c>
      <c r="B277" s="20">
        <v>0</v>
      </c>
      <c r="C277" s="58" t="s">
        <v>191</v>
      </c>
      <c r="D277" s="73" t="s">
        <v>230</v>
      </c>
    </row>
    <row r="278" spans="1:4" x14ac:dyDescent="0.35">
      <c r="A278" t="s">
        <v>192</v>
      </c>
      <c r="B278" s="55">
        <f>SUM(B275:B277)</f>
        <v>24.05</v>
      </c>
      <c r="C278" s="75">
        <f>B272+B273+B274</f>
        <v>21.6</v>
      </c>
      <c r="D278" s="72">
        <f>C278/B271</f>
        <v>8.816326530612244</v>
      </c>
    </row>
    <row r="279" spans="1:4" x14ac:dyDescent="0.35">
      <c r="A279" t="s">
        <v>193</v>
      </c>
      <c r="B279" s="55">
        <f>60/B278</f>
        <v>2.4948024948024949</v>
      </c>
    </row>
    <row r="280" spans="1:4" x14ac:dyDescent="0.35">
      <c r="B280" s="55"/>
    </row>
    <row r="281" spans="1:4" x14ac:dyDescent="0.35">
      <c r="A281" t="s">
        <v>221</v>
      </c>
      <c r="B281" s="25">
        <v>77</v>
      </c>
    </row>
    <row r="282" spans="1:4" x14ac:dyDescent="0.35">
      <c r="A282" t="s">
        <v>224</v>
      </c>
      <c r="B282" s="118">
        <f>B279*B281</f>
        <v>192.0997920997921</v>
      </c>
    </row>
    <row r="284" spans="1:4" x14ac:dyDescent="0.35">
      <c r="A284" s="56" t="s">
        <v>222</v>
      </c>
      <c r="B284">
        <v>5</v>
      </c>
      <c r="C284" s="21">
        <f>B281/15</f>
        <v>5.1333333333333337</v>
      </c>
    </row>
    <row r="285" spans="1:4" x14ac:dyDescent="0.35">
      <c r="A285" t="s">
        <v>194</v>
      </c>
      <c r="B285">
        <v>0.7</v>
      </c>
    </row>
    <row r="286" spans="1:4" x14ac:dyDescent="0.35">
      <c r="A286" t="s">
        <v>195</v>
      </c>
      <c r="B286">
        <f>B284*B285</f>
        <v>3.5</v>
      </c>
    </row>
    <row r="287" spans="1:4" x14ac:dyDescent="0.35">
      <c r="A287" t="s">
        <v>196</v>
      </c>
      <c r="B287" s="50">
        <f>B278/B286</f>
        <v>6.8714285714285719</v>
      </c>
      <c r="C287" s="74" t="s">
        <v>223</v>
      </c>
      <c r="D287" s="56"/>
    </row>
    <row r="289" spans="1:8" x14ac:dyDescent="0.35">
      <c r="A289" t="s">
        <v>197</v>
      </c>
      <c r="B289" s="57">
        <f>(B287*B281)/B278</f>
        <v>22</v>
      </c>
    </row>
    <row r="290" spans="1:8" x14ac:dyDescent="0.35">
      <c r="A290" t="s">
        <v>198</v>
      </c>
      <c r="B290" s="50">
        <f>B289*60</f>
        <v>1320</v>
      </c>
    </row>
    <row r="291" spans="1:8" x14ac:dyDescent="0.35">
      <c r="A291" t="s">
        <v>199</v>
      </c>
      <c r="B291" s="55">
        <v>0.83</v>
      </c>
    </row>
    <row r="292" spans="1:8" x14ac:dyDescent="0.35">
      <c r="A292" t="s">
        <v>200</v>
      </c>
      <c r="B292">
        <v>0.9</v>
      </c>
    </row>
    <row r="293" spans="1:8" x14ac:dyDescent="0.35">
      <c r="A293" t="s">
        <v>201</v>
      </c>
      <c r="B293" s="50">
        <f>B290*B291*B292</f>
        <v>986.04</v>
      </c>
    </row>
    <row r="294" spans="1:8" x14ac:dyDescent="0.35">
      <c r="A294" t="s">
        <v>202</v>
      </c>
      <c r="B294" s="492">
        <f>D257/B293</f>
        <v>438.41429360289987</v>
      </c>
    </row>
    <row r="295" spans="1:8" x14ac:dyDescent="0.35">
      <c r="B295" s="50"/>
    </row>
    <row r="296" spans="1:8" ht="15.5" x14ac:dyDescent="0.35">
      <c r="A296" s="435" t="s">
        <v>1464</v>
      </c>
      <c r="B296" s="435" t="s">
        <v>1465</v>
      </c>
      <c r="C296" s="262"/>
    </row>
    <row r="297" spans="1:8" x14ac:dyDescent="0.35">
      <c r="B297" s="552" t="s">
        <v>203</v>
      </c>
      <c r="C297" s="352" t="s">
        <v>92</v>
      </c>
      <c r="D297" s="369" t="s">
        <v>214</v>
      </c>
      <c r="E297" s="370" t="s">
        <v>204</v>
      </c>
      <c r="F297" s="355" t="s">
        <v>215</v>
      </c>
      <c r="G297" s="352" t="s">
        <v>205</v>
      </c>
      <c r="H297" s="352" t="s">
        <v>206</v>
      </c>
    </row>
    <row r="298" spans="1:8" x14ac:dyDescent="0.35">
      <c r="A298" t="s">
        <v>207</v>
      </c>
      <c r="B298" s="369">
        <v>1</v>
      </c>
      <c r="C298" s="352" t="s">
        <v>216</v>
      </c>
      <c r="D298" s="369">
        <f>'Rates 2020'!$J$27</f>
        <v>629.72</v>
      </c>
      <c r="E298" s="369">
        <f>$B$294*B298</f>
        <v>438.41429360289987</v>
      </c>
      <c r="F298" s="491">
        <f>D298*E298</f>
        <v>276078.2489676181</v>
      </c>
      <c r="G298" s="371">
        <f>F298/$D$259</f>
        <v>0.38705172695680179</v>
      </c>
      <c r="H298" s="355">
        <f>F298/$D$257</f>
        <v>0.63863534947872302</v>
      </c>
    </row>
    <row r="299" spans="1:8" x14ac:dyDescent="0.35">
      <c r="A299" t="s">
        <v>208</v>
      </c>
      <c r="B299" s="369">
        <f>B287</f>
        <v>6.8714285714285719</v>
      </c>
      <c r="C299" s="369" t="s">
        <v>217</v>
      </c>
      <c r="D299" s="369">
        <f>'Rates 2020'!$J$66</f>
        <v>468.39</v>
      </c>
      <c r="E299" s="369">
        <f>$B$294*B299</f>
        <v>3012.532503185641</v>
      </c>
      <c r="F299" s="491">
        <f>D299*E299</f>
        <v>1411040.0991671223</v>
      </c>
      <c r="G299" s="371">
        <f>F299/$D$259</f>
        <v>1.9782272208340119</v>
      </c>
      <c r="H299" s="355">
        <f>F299/$D$257</f>
        <v>3.2640749143761196</v>
      </c>
    </row>
    <row r="300" spans="1:8" x14ac:dyDescent="0.35">
      <c r="A300" t="s">
        <v>209</v>
      </c>
      <c r="B300" s="372">
        <v>1</v>
      </c>
      <c r="C300" s="369" t="s">
        <v>218</v>
      </c>
      <c r="D300" s="373">
        <f>'Rates 2020'!$J$51</f>
        <v>194.65</v>
      </c>
      <c r="E300" s="369">
        <f>$B$294*B300</f>
        <v>438.41429360289987</v>
      </c>
      <c r="F300" s="491">
        <f>D300*E300</f>
        <v>85337.342249804467</v>
      </c>
      <c r="G300" s="371">
        <f>F300/$D$259</f>
        <v>0.11963986954859537</v>
      </c>
      <c r="H300" s="355">
        <f>F300/$D$257</f>
        <v>0.19740578475518236</v>
      </c>
    </row>
    <row r="301" spans="1:8" x14ac:dyDescent="0.35">
      <c r="A301" t="s">
        <v>210</v>
      </c>
      <c r="B301" s="372">
        <v>1</v>
      </c>
      <c r="C301" s="369" t="s">
        <v>98</v>
      </c>
      <c r="D301" s="373">
        <f>'Rates 2020'!$J$13</f>
        <v>332.61</v>
      </c>
      <c r="E301" s="369">
        <f>$B$294*B301</f>
        <v>438.41429360289987</v>
      </c>
      <c r="F301" s="491">
        <f>D301*E301</f>
        <v>145820.97819526054</v>
      </c>
      <c r="G301" s="371">
        <f>F301/$D$259</f>
        <v>0.20443574112796459</v>
      </c>
      <c r="H301" s="355">
        <f>F301/$D$257</f>
        <v>0.3373189728611416</v>
      </c>
    </row>
    <row r="302" spans="1:8" x14ac:dyDescent="0.35">
      <c r="A302" t="s">
        <v>210</v>
      </c>
      <c r="B302" s="369">
        <v>1</v>
      </c>
      <c r="C302" s="370" t="s">
        <v>219</v>
      </c>
      <c r="D302" s="373">
        <f>'Rates 2020'!$J$56</f>
        <v>105.45</v>
      </c>
      <c r="E302" s="369">
        <f>$B$294*B302</f>
        <v>438.41429360289987</v>
      </c>
      <c r="F302" s="491">
        <f>D302*E302</f>
        <v>46230.787260425794</v>
      </c>
      <c r="G302" s="371">
        <f>F302/$D$259</f>
        <v>6.4813892853323313E-2</v>
      </c>
      <c r="H302" s="355">
        <f>F302/$D$257</f>
        <v>0.10694292320798346</v>
      </c>
    </row>
    <row r="303" spans="1:8" x14ac:dyDescent="0.35">
      <c r="A303" t="s">
        <v>220</v>
      </c>
      <c r="B303" s="63">
        <f>SUM(B298:B302)</f>
        <v>10.871428571428572</v>
      </c>
      <c r="C303" s="63"/>
      <c r="D303" s="2"/>
      <c r="E303" s="63">
        <f>SUM(E298:E302)</f>
        <v>4766.1896775972409</v>
      </c>
      <c r="F303" s="553">
        <f>SUM(F298:F302)</f>
        <v>1964507.4558402309</v>
      </c>
      <c r="G303" s="71">
        <f>SUM(G298:G302)</f>
        <v>2.7541684513206968</v>
      </c>
      <c r="H303" s="65">
        <f>SUM(H298:H302)</f>
        <v>4.5443779446791499</v>
      </c>
    </row>
    <row r="304" spans="1:8" x14ac:dyDescent="0.35">
      <c r="B304" s="63"/>
      <c r="C304" s="63"/>
      <c r="D304" s="2"/>
      <c r="E304" s="63"/>
      <c r="F304" s="553"/>
      <c r="G304" s="71"/>
      <c r="H304" s="65"/>
    </row>
    <row r="305" spans="1:8" x14ac:dyDescent="0.35">
      <c r="A305" s="60" t="s">
        <v>225</v>
      </c>
    </row>
    <row r="306" spans="1:8" ht="15.5" x14ac:dyDescent="0.35">
      <c r="A306" s="60" t="s">
        <v>1481</v>
      </c>
      <c r="B306" s="261"/>
      <c r="C306" s="262"/>
    </row>
    <row r="307" spans="1:8" x14ac:dyDescent="0.35">
      <c r="A307" t="s">
        <v>226</v>
      </c>
      <c r="C307" s="76">
        <f>B294</f>
        <v>438.41429360289987</v>
      </c>
    </row>
    <row r="308" spans="1:8" x14ac:dyDescent="0.35">
      <c r="A308" t="s">
        <v>167</v>
      </c>
      <c r="C308" s="76">
        <f>C307*2</f>
        <v>876.82858720579975</v>
      </c>
    </row>
    <row r="309" spans="1:8" x14ac:dyDescent="0.35">
      <c r="A309" t="s">
        <v>227</v>
      </c>
      <c r="B309" s="25" t="s">
        <v>228</v>
      </c>
      <c r="C309" s="77">
        <f>C308*'Rates 2020'!$J$11</f>
        <v>436949.98986226617</v>
      </c>
    </row>
    <row r="310" spans="1:8" x14ac:dyDescent="0.35">
      <c r="B310" s="25" t="s">
        <v>228</v>
      </c>
      <c r="C310" s="78">
        <f>C308*'Rates 2020'!$J$11</f>
        <v>436949.98986226617</v>
      </c>
    </row>
    <row r="311" spans="1:8" x14ac:dyDescent="0.35">
      <c r="B311" s="25" t="s">
        <v>83</v>
      </c>
      <c r="C311" s="385">
        <f>SUM(C309:C310)</f>
        <v>873899.97972453234</v>
      </c>
    </row>
    <row r="313" spans="1:8" x14ac:dyDescent="0.35">
      <c r="C313" s="149" t="s">
        <v>1464</v>
      </c>
    </row>
    <row r="314" spans="1:8" x14ac:dyDescent="0.35">
      <c r="C314" s="149" t="s">
        <v>1465</v>
      </c>
    </row>
    <row r="315" spans="1:8" x14ac:dyDescent="0.35">
      <c r="A315" s="294" t="s">
        <v>229</v>
      </c>
      <c r="B315" s="121"/>
      <c r="C315" s="386">
        <f>C311+F303</f>
        <v>2838407.4355647634</v>
      </c>
    </row>
    <row r="316" spans="1:8" x14ac:dyDescent="0.35">
      <c r="B316" s="60"/>
      <c r="C316" s="60"/>
      <c r="D316" s="275"/>
    </row>
    <row r="317" spans="1:8" x14ac:dyDescent="0.35">
      <c r="B317" s="60"/>
      <c r="C317" s="60"/>
      <c r="D317" s="275"/>
    </row>
    <row r="318" spans="1:8" x14ac:dyDescent="0.35">
      <c r="A318" s="121" t="s">
        <v>231</v>
      </c>
      <c r="C318" s="60"/>
      <c r="D318" s="275"/>
      <c r="G318" s="149"/>
      <c r="H318" s="149"/>
    </row>
    <row r="319" spans="1:8" x14ac:dyDescent="0.35">
      <c r="A319" t="s">
        <v>160</v>
      </c>
      <c r="G319" s="149"/>
      <c r="H319" s="149"/>
    </row>
    <row r="320" spans="1:8" x14ac:dyDescent="0.35">
      <c r="A320" t="s">
        <v>232</v>
      </c>
    </row>
    <row r="321" spans="1:7" x14ac:dyDescent="0.35">
      <c r="A321" t="s">
        <v>233</v>
      </c>
    </row>
    <row r="322" spans="1:7" x14ac:dyDescent="0.35">
      <c r="A322" t="s">
        <v>793</v>
      </c>
    </row>
    <row r="323" spans="1:7" x14ac:dyDescent="0.35">
      <c r="A323" t="s">
        <v>794</v>
      </c>
      <c r="C323" s="60"/>
    </row>
    <row r="324" spans="1:7" x14ac:dyDescent="0.35">
      <c r="A324" t="s">
        <v>795</v>
      </c>
      <c r="C324" s="60"/>
    </row>
    <row r="325" spans="1:7" x14ac:dyDescent="0.35">
      <c r="A325" t="s">
        <v>234</v>
      </c>
      <c r="G325" s="149" t="s">
        <v>1464</v>
      </c>
    </row>
    <row r="326" spans="1:7" x14ac:dyDescent="0.35">
      <c r="G326" s="149" t="s">
        <v>1465</v>
      </c>
    </row>
    <row r="327" spans="1:7" x14ac:dyDescent="0.35">
      <c r="B327" s="88" t="s">
        <v>235</v>
      </c>
      <c r="C327" s="89" t="s">
        <v>236</v>
      </c>
      <c r="D327" s="89" t="s">
        <v>237</v>
      </c>
      <c r="E327" s="90" t="s">
        <v>238</v>
      </c>
      <c r="F327" s="90" t="s">
        <v>239</v>
      </c>
      <c r="G327" s="91" t="s">
        <v>240</v>
      </c>
    </row>
    <row r="328" spans="1:7" x14ac:dyDescent="0.35">
      <c r="B328" s="86" t="s">
        <v>241</v>
      </c>
      <c r="C328" s="24">
        <f>$D$257</f>
        <v>432294.03006420337</v>
      </c>
      <c r="D328" s="80">
        <v>2500</v>
      </c>
      <c r="E328" s="2">
        <v>0</v>
      </c>
      <c r="F328" s="2" t="s">
        <v>242</v>
      </c>
      <c r="G328" s="81">
        <f>+(C328/D328)*E328</f>
        <v>0</v>
      </c>
    </row>
    <row r="329" spans="1:7" x14ac:dyDescent="0.35">
      <c r="B329" s="86" t="s">
        <v>243</v>
      </c>
      <c r="C329" s="24">
        <f>$D$257</f>
        <v>432294.03006420337</v>
      </c>
      <c r="D329" s="80">
        <v>30000</v>
      </c>
      <c r="E329" s="2">
        <f>200+25</f>
        <v>225</v>
      </c>
      <c r="F329" s="2">
        <v>10</v>
      </c>
      <c r="G329" s="81">
        <f>(C329/D329)*(E329+F329)</f>
        <v>3386.3032355029263</v>
      </c>
    </row>
    <row r="330" spans="1:7" x14ac:dyDescent="0.35">
      <c r="B330" s="86" t="s">
        <v>244</v>
      </c>
      <c r="C330" s="24">
        <f>$D$257</f>
        <v>432294.03006420337</v>
      </c>
      <c r="D330" s="80">
        <v>10000</v>
      </c>
      <c r="E330" s="2">
        <v>45</v>
      </c>
      <c r="F330" s="2">
        <v>10</v>
      </c>
      <c r="G330" s="81">
        <f>(C330/D330)*(E330+F330)</f>
        <v>2377.6171653531183</v>
      </c>
    </row>
    <row r="331" spans="1:7" ht="16" x14ac:dyDescent="0.5">
      <c r="B331" s="86" t="s">
        <v>245</v>
      </c>
      <c r="C331" s="24">
        <f>$D$257</f>
        <v>432294.03006420337</v>
      </c>
      <c r="D331" s="80">
        <v>2500</v>
      </c>
      <c r="E331" s="2">
        <v>15</v>
      </c>
      <c r="F331" s="2">
        <v>10</v>
      </c>
      <c r="G331" s="92">
        <f>(C331/D331)*(E331+F331)</f>
        <v>4322.9403006420334</v>
      </c>
    </row>
    <row r="332" spans="1:7" x14ac:dyDescent="0.35">
      <c r="B332" s="87"/>
      <c r="C332" s="20"/>
      <c r="D332" s="20"/>
      <c r="E332" s="20"/>
      <c r="F332" s="20" t="s">
        <v>83</v>
      </c>
      <c r="G332" s="453">
        <f>SUM(G328:G331)</f>
        <v>10086.860701498077</v>
      </c>
    </row>
    <row r="333" spans="1:7" ht="15.5" x14ac:dyDescent="0.35">
      <c r="A333" s="260"/>
      <c r="B333" s="261"/>
      <c r="C333" s="262"/>
    </row>
    <row r="334" spans="1:7" x14ac:dyDescent="0.35">
      <c r="A334" t="s">
        <v>246</v>
      </c>
    </row>
    <row r="335" spans="1:7" x14ac:dyDescent="0.35">
      <c r="A335" t="s">
        <v>247</v>
      </c>
    </row>
    <row r="336" spans="1:7" x14ac:dyDescent="0.35">
      <c r="A336" s="93" t="s">
        <v>681</v>
      </c>
    </row>
    <row r="337" spans="1:3" x14ac:dyDescent="0.35">
      <c r="A337" s="93" t="s">
        <v>248</v>
      </c>
    </row>
    <row r="338" spans="1:3" ht="15.5" x14ac:dyDescent="0.35">
      <c r="A338" s="260"/>
      <c r="B338" s="261"/>
      <c r="C338" s="262"/>
    </row>
    <row r="339" spans="1:3" x14ac:dyDescent="0.35">
      <c r="A339" t="s">
        <v>249</v>
      </c>
    </row>
    <row r="340" spans="1:3" x14ac:dyDescent="0.35">
      <c r="A340" t="s">
        <v>250</v>
      </c>
      <c r="C340" s="21">
        <f>B254</f>
        <v>114.14522494916724</v>
      </c>
    </row>
    <row r="341" spans="1:3" x14ac:dyDescent="0.35">
      <c r="A341" t="s">
        <v>251</v>
      </c>
      <c r="C341">
        <v>1000</v>
      </c>
    </row>
    <row r="342" spans="1:3" x14ac:dyDescent="0.35">
      <c r="A342" t="s">
        <v>252</v>
      </c>
      <c r="C342" s="137">
        <v>25</v>
      </c>
    </row>
    <row r="343" spans="1:3" x14ac:dyDescent="0.35">
      <c r="A343" t="s">
        <v>253</v>
      </c>
      <c r="C343" s="454">
        <f>((C340*23*2000)/C341)*C342</f>
        <v>131267.00869154235</v>
      </c>
    </row>
    <row r="344" spans="1:3" ht="15.5" x14ac:dyDescent="0.35">
      <c r="A344" s="260"/>
      <c r="B344" s="261"/>
      <c r="C344" s="262"/>
    </row>
    <row r="345" spans="1:3" x14ac:dyDescent="0.35">
      <c r="A345" t="s">
        <v>1183</v>
      </c>
    </row>
    <row r="346" spans="1:3" x14ac:dyDescent="0.35">
      <c r="A346" t="s">
        <v>272</v>
      </c>
    </row>
    <row r="347" spans="1:3" x14ac:dyDescent="0.35">
      <c r="A347" t="s">
        <v>254</v>
      </c>
    </row>
    <row r="348" spans="1:3" x14ac:dyDescent="0.35">
      <c r="A348" t="s">
        <v>255</v>
      </c>
    </row>
    <row r="349" spans="1:3" x14ac:dyDescent="0.35">
      <c r="A349" t="s">
        <v>256</v>
      </c>
    </row>
    <row r="350" spans="1:3" ht="15.5" x14ac:dyDescent="0.35">
      <c r="A350" s="260"/>
      <c r="B350" s="261"/>
      <c r="C350" s="262"/>
    </row>
    <row r="351" spans="1:3" x14ac:dyDescent="0.35">
      <c r="A351" t="s">
        <v>257</v>
      </c>
    </row>
    <row r="352" spans="1:3" x14ac:dyDescent="0.35">
      <c r="A352" t="s">
        <v>258</v>
      </c>
      <c r="C352">
        <v>150</v>
      </c>
    </row>
    <row r="353" spans="1:3" x14ac:dyDescent="0.35">
      <c r="A353" t="s">
        <v>259</v>
      </c>
      <c r="C353" s="99">
        <f>B294</f>
        <v>438.41429360289987</v>
      </c>
    </row>
    <row r="354" spans="1:3" x14ac:dyDescent="0.35">
      <c r="A354" t="s">
        <v>260</v>
      </c>
      <c r="C354" s="455">
        <f>C352*C353</f>
        <v>65762.144040434985</v>
      </c>
    </row>
    <row r="355" spans="1:3" ht="15.5" x14ac:dyDescent="0.35">
      <c r="A355" s="260"/>
      <c r="C355" s="262"/>
    </row>
    <row r="356" spans="1:3" x14ac:dyDescent="0.35">
      <c r="A356" t="s">
        <v>261</v>
      </c>
    </row>
    <row r="357" spans="1:3" x14ac:dyDescent="0.35">
      <c r="A357" t="s">
        <v>262</v>
      </c>
      <c r="C357">
        <v>200</v>
      </c>
    </row>
    <row r="358" spans="1:3" x14ac:dyDescent="0.35">
      <c r="A358" t="s">
        <v>263</v>
      </c>
      <c r="C358" s="554">
        <f>B294/200</f>
        <v>2.1920714680144995</v>
      </c>
    </row>
    <row r="359" spans="1:3" x14ac:dyDescent="0.35">
      <c r="A359" t="s">
        <v>264</v>
      </c>
      <c r="C359" s="456">
        <f>C357*C358</f>
        <v>438.41429360289987</v>
      </c>
    </row>
    <row r="360" spans="1:3" ht="15.5" x14ac:dyDescent="0.35">
      <c r="A360" s="260"/>
      <c r="B360" s="261"/>
      <c r="C360" s="262"/>
    </row>
    <row r="361" spans="1:3" ht="15.5" x14ac:dyDescent="0.35">
      <c r="A361" t="s">
        <v>753</v>
      </c>
      <c r="B361" s="261"/>
      <c r="C361" s="262"/>
    </row>
    <row r="362" spans="1:3" ht="15.5" x14ac:dyDescent="0.35">
      <c r="A362" t="s">
        <v>307</v>
      </c>
      <c r="B362" s="261"/>
      <c r="C362" s="262"/>
    </row>
    <row r="363" spans="1:3" ht="15.5" x14ac:dyDescent="0.35">
      <c r="A363" t="s">
        <v>265</v>
      </c>
      <c r="B363" s="261"/>
      <c r="C363" s="262"/>
    </row>
    <row r="364" spans="1:3" ht="15.5" x14ac:dyDescent="0.35">
      <c r="A364" s="260"/>
      <c r="B364" s="261"/>
      <c r="C364" s="262"/>
    </row>
    <row r="365" spans="1:3" x14ac:dyDescent="0.35">
      <c r="A365" t="s">
        <v>266</v>
      </c>
    </row>
    <row r="366" spans="1:3" x14ac:dyDescent="0.35">
      <c r="A366" t="s">
        <v>750</v>
      </c>
      <c r="C366" s="21">
        <f>B254</f>
        <v>114.14522494916724</v>
      </c>
    </row>
    <row r="367" spans="1:3" x14ac:dyDescent="0.35">
      <c r="A367" t="s">
        <v>267</v>
      </c>
      <c r="C367">
        <v>0.5</v>
      </c>
    </row>
    <row r="368" spans="1:3" x14ac:dyDescent="0.35">
      <c r="A368" t="s">
        <v>268</v>
      </c>
      <c r="C368" s="452">
        <f>C366/C367</f>
        <v>228.29044989833449</v>
      </c>
    </row>
    <row r="369" spans="1:5" x14ac:dyDescent="0.35">
      <c r="A369" t="s">
        <v>269</v>
      </c>
      <c r="C369" s="455">
        <f>C368*'Rates 2020'!$J$13*2</f>
        <v>151863.37308137008</v>
      </c>
    </row>
    <row r="370" spans="1:5" x14ac:dyDescent="0.35">
      <c r="C370" s="455"/>
    </row>
    <row r="371" spans="1:5" x14ac:dyDescent="0.35">
      <c r="B371" s="59"/>
      <c r="C371" s="149" t="s">
        <v>1464</v>
      </c>
    </row>
    <row r="372" spans="1:5" x14ac:dyDescent="0.35">
      <c r="C372" s="149" t="s">
        <v>1465</v>
      </c>
      <c r="D372" s="26"/>
    </row>
    <row r="373" spans="1:5" x14ac:dyDescent="0.35">
      <c r="A373" s="121" t="s">
        <v>270</v>
      </c>
      <c r="B373" s="121"/>
      <c r="C373" s="393">
        <f>C369+C359+C354+C343+G332</f>
        <v>359417.8008084484</v>
      </c>
    </row>
    <row r="374" spans="1:5" ht="15.5" x14ac:dyDescent="0.35">
      <c r="A374" s="261"/>
      <c r="B374" s="262"/>
    </row>
    <row r="375" spans="1:5" ht="15.5" x14ac:dyDescent="0.35">
      <c r="A375" s="261"/>
      <c r="B375" s="262"/>
    </row>
    <row r="376" spans="1:5" x14ac:dyDescent="0.35">
      <c r="A376" s="121" t="s">
        <v>274</v>
      </c>
      <c r="B376" s="121"/>
    </row>
    <row r="377" spans="1:5" x14ac:dyDescent="0.35">
      <c r="A377" t="s">
        <v>160</v>
      </c>
    </row>
    <row r="378" spans="1:5" x14ac:dyDescent="0.35">
      <c r="A378" s="60" t="s">
        <v>886</v>
      </c>
    </row>
    <row r="379" spans="1:5" x14ac:dyDescent="0.35">
      <c r="A379" t="s">
        <v>1409</v>
      </c>
    </row>
    <row r="380" spans="1:5" x14ac:dyDescent="0.35">
      <c r="A380" t="s">
        <v>278</v>
      </c>
    </row>
    <row r="382" spans="1:5" x14ac:dyDescent="0.35">
      <c r="C382" t="s">
        <v>1496</v>
      </c>
    </row>
    <row r="383" spans="1:5" x14ac:dyDescent="0.35">
      <c r="C383" s="149" t="s">
        <v>1464</v>
      </c>
      <c r="D383" s="149" t="s">
        <v>1457</v>
      </c>
      <c r="E383" s="149" t="s">
        <v>1469</v>
      </c>
    </row>
    <row r="384" spans="1:5" x14ac:dyDescent="0.35">
      <c r="C384" s="149" t="s">
        <v>1465</v>
      </c>
      <c r="D384" s="149" t="s">
        <v>1466</v>
      </c>
      <c r="E384" s="149" t="s">
        <v>1467</v>
      </c>
    </row>
    <row r="385" spans="1:5" x14ac:dyDescent="0.35">
      <c r="A385" t="s">
        <v>750</v>
      </c>
      <c r="C385" s="21">
        <f>B254+B75</f>
        <v>146.36348226869424</v>
      </c>
      <c r="D385" s="21">
        <f>B76</f>
        <v>23.385558583907908</v>
      </c>
      <c r="E385" s="21">
        <f>B77</f>
        <v>18.866373428522248</v>
      </c>
    </row>
    <row r="386" spans="1:5" x14ac:dyDescent="0.35">
      <c r="A386" t="s">
        <v>275</v>
      </c>
      <c r="C386" s="263">
        <v>1500</v>
      </c>
      <c r="D386" s="263">
        <v>1500</v>
      </c>
      <c r="E386" s="263">
        <v>1500</v>
      </c>
    </row>
    <row r="387" spans="1:5" x14ac:dyDescent="0.35">
      <c r="A387" t="s">
        <v>170</v>
      </c>
      <c r="C387" s="532">
        <f>C385*C386</f>
        <v>219545.22340304137</v>
      </c>
      <c r="D387" s="532">
        <f>D385*D386</f>
        <v>35078.337875861864</v>
      </c>
      <c r="E387" s="532">
        <f>E385*E386</f>
        <v>28299.560142783372</v>
      </c>
    </row>
    <row r="389" spans="1:5" x14ac:dyDescent="0.35">
      <c r="A389" s="44" t="s">
        <v>1497</v>
      </c>
    </row>
    <row r="390" spans="1:5" x14ac:dyDescent="0.35">
      <c r="A390" t="s">
        <v>160</v>
      </c>
    </row>
    <row r="391" spans="1:5" x14ac:dyDescent="0.35">
      <c r="A391" t="s">
        <v>771</v>
      </c>
    </row>
    <row r="392" spans="1:5" x14ac:dyDescent="0.35">
      <c r="A392" t="s">
        <v>778</v>
      </c>
    </row>
    <row r="393" spans="1:5" x14ac:dyDescent="0.35">
      <c r="A393" t="s">
        <v>779</v>
      </c>
    </row>
    <row r="394" spans="1:5" x14ac:dyDescent="0.35">
      <c r="A394" t="s">
        <v>780</v>
      </c>
    </row>
    <row r="395" spans="1:5" x14ac:dyDescent="0.35">
      <c r="A395" t="s">
        <v>781</v>
      </c>
    </row>
    <row r="396" spans="1:5" x14ac:dyDescent="0.35">
      <c r="A396" t="s">
        <v>782</v>
      </c>
    </row>
    <row r="397" spans="1:5" x14ac:dyDescent="0.35">
      <c r="A397" t="s">
        <v>772</v>
      </c>
    </row>
    <row r="398" spans="1:5" x14ac:dyDescent="0.35">
      <c r="A398" t="s">
        <v>773</v>
      </c>
      <c r="C398" s="149" t="s">
        <v>1457</v>
      </c>
    </row>
    <row r="399" spans="1:5" x14ac:dyDescent="0.35">
      <c r="C399" s="149" t="s">
        <v>1466</v>
      </c>
    </row>
    <row r="400" spans="1:5" x14ac:dyDescent="0.35">
      <c r="A400" t="s">
        <v>774</v>
      </c>
      <c r="C400">
        <v>4</v>
      </c>
    </row>
    <row r="401" spans="1:5" x14ac:dyDescent="0.35">
      <c r="A401" t="s">
        <v>775</v>
      </c>
      <c r="C401">
        <v>10</v>
      </c>
    </row>
    <row r="402" spans="1:5" x14ac:dyDescent="0.35">
      <c r="A402" t="s">
        <v>776</v>
      </c>
      <c r="C402">
        <f>+C400*C401</f>
        <v>40</v>
      </c>
    </row>
    <row r="404" spans="1:5" x14ac:dyDescent="0.35">
      <c r="A404" s="60" t="s">
        <v>783</v>
      </c>
      <c r="C404" s="26">
        <f>'Rates 2020'!J31*C402</f>
        <v>7521.2</v>
      </c>
    </row>
    <row r="405" spans="1:5" x14ac:dyDescent="0.35">
      <c r="A405" s="60" t="s">
        <v>784</v>
      </c>
      <c r="C405" s="26">
        <f>120*C402</f>
        <v>4800</v>
      </c>
    </row>
    <row r="406" spans="1:5" x14ac:dyDescent="0.35">
      <c r="A406" t="s">
        <v>785</v>
      </c>
      <c r="C406" s="26">
        <f>C402*'Rates 2020'!J67</f>
        <v>7746.4</v>
      </c>
    </row>
    <row r="407" spans="1:5" x14ac:dyDescent="0.35">
      <c r="A407" s="60" t="s">
        <v>786</v>
      </c>
      <c r="C407" s="231">
        <f>('Rates 2020'!J77+'Rates 2020'!J79)*C402</f>
        <v>6477.6</v>
      </c>
    </row>
    <row r="408" spans="1:5" x14ac:dyDescent="0.35">
      <c r="A408" s="60" t="s">
        <v>170</v>
      </c>
      <c r="C408" s="342">
        <f>SUM(C404:C407)</f>
        <v>26545.199999999997</v>
      </c>
    </row>
    <row r="409" spans="1:5" x14ac:dyDescent="0.35">
      <c r="A409" s="60"/>
      <c r="C409" s="26"/>
    </row>
    <row r="410" spans="1:5" x14ac:dyDescent="0.35">
      <c r="C410" s="149" t="s">
        <v>1464</v>
      </c>
      <c r="D410" s="149" t="s">
        <v>1457</v>
      </c>
      <c r="E410" s="149" t="s">
        <v>1469</v>
      </c>
    </row>
    <row r="411" spans="1:5" x14ac:dyDescent="0.35">
      <c r="C411" s="149" t="s">
        <v>1465</v>
      </c>
      <c r="D411" s="149" t="s">
        <v>1466</v>
      </c>
      <c r="E411" s="149" t="s">
        <v>1467</v>
      </c>
    </row>
    <row r="412" spans="1:5" s="5" customFormat="1" x14ac:dyDescent="0.35">
      <c r="A412" s="294" t="s">
        <v>276</v>
      </c>
      <c r="B412" s="294"/>
      <c r="C412" s="393">
        <f>C387+C408</f>
        <v>246090.42340304138</v>
      </c>
      <c r="D412" s="393">
        <f>D387</f>
        <v>35078.337875861864</v>
      </c>
      <c r="E412" s="393">
        <f>E387</f>
        <v>28299.560142783372</v>
      </c>
    </row>
    <row r="413" spans="1:5" ht="15.5" x14ac:dyDescent="0.35">
      <c r="A413" s="260"/>
      <c r="B413" s="261"/>
      <c r="C413" s="262"/>
    </row>
    <row r="414" spans="1:5" ht="15.5" x14ac:dyDescent="0.35">
      <c r="A414" s="260"/>
      <c r="B414" s="261"/>
      <c r="C414" s="149" t="s">
        <v>1464</v>
      </c>
      <c r="D414" s="149" t="s">
        <v>1457</v>
      </c>
      <c r="E414" s="149" t="s">
        <v>1469</v>
      </c>
    </row>
    <row r="415" spans="1:5" ht="15.5" x14ac:dyDescent="0.35">
      <c r="A415" s="260"/>
      <c r="B415" s="261"/>
      <c r="C415" s="149" t="s">
        <v>1465</v>
      </c>
      <c r="D415" s="149" t="s">
        <v>1466</v>
      </c>
      <c r="E415" s="149" t="s">
        <v>1467</v>
      </c>
    </row>
    <row r="416" spans="1:5" s="244" customFormat="1" ht="18.5" x14ac:dyDescent="0.45">
      <c r="A416" s="125" t="s">
        <v>802</v>
      </c>
      <c r="B416" s="125"/>
      <c r="C416" s="345">
        <f>C412+C373+C315+C241+C191</f>
        <v>4114679.0160843483</v>
      </c>
      <c r="D416" s="345">
        <f>D412+D241</f>
        <v>307941.58787586185</v>
      </c>
      <c r="E416" s="345">
        <f>E412</f>
        <v>28299.560142783372</v>
      </c>
    </row>
    <row r="420" spans="1:5" s="5" customFormat="1" ht="18.5" x14ac:dyDescent="0.45">
      <c r="A420" s="125" t="s">
        <v>1480</v>
      </c>
      <c r="B420" s="95"/>
      <c r="C420" s="95"/>
    </row>
    <row r="422" spans="1:5" ht="29" x14ac:dyDescent="0.35">
      <c r="B422" s="538" t="s">
        <v>1424</v>
      </c>
      <c r="C422" s="538" t="s">
        <v>1446</v>
      </c>
      <c r="D422" s="538" t="s">
        <v>1445</v>
      </c>
    </row>
    <row r="423" spans="1:5" x14ac:dyDescent="0.35">
      <c r="A423" s="60" t="s">
        <v>796</v>
      </c>
      <c r="B423" s="351">
        <v>18.866373428522248</v>
      </c>
      <c r="C423" s="352">
        <v>7</v>
      </c>
      <c r="D423" s="356">
        <f>(B423-C423)*1.0525</f>
        <v>12.489358033519666</v>
      </c>
    </row>
    <row r="424" spans="1:5" x14ac:dyDescent="0.35">
      <c r="A424" s="60" t="s">
        <v>1426</v>
      </c>
      <c r="B424" s="351">
        <v>2.17807588817278</v>
      </c>
      <c r="C424" s="352">
        <v>0.5</v>
      </c>
      <c r="D424" s="356">
        <f>B424-C424</f>
        <v>1.67807588817278</v>
      </c>
      <c r="E424" t="s">
        <v>1487</v>
      </c>
    </row>
    <row r="425" spans="1:5" x14ac:dyDescent="0.35">
      <c r="A425" s="60" t="s">
        <v>1421</v>
      </c>
      <c r="B425" s="352" t="s">
        <v>1428</v>
      </c>
      <c r="C425" s="352" t="s">
        <v>1428</v>
      </c>
      <c r="D425" s="352" t="s">
        <v>1428</v>
      </c>
    </row>
    <row r="426" spans="1:5" x14ac:dyDescent="0.35">
      <c r="A426" s="60" t="s">
        <v>1422</v>
      </c>
      <c r="B426" s="351">
        <v>33.790940669203245</v>
      </c>
      <c r="C426" s="352" t="s">
        <v>1447</v>
      </c>
      <c r="D426" s="356">
        <f>B426*1.0525</f>
        <v>35.564965054336412</v>
      </c>
    </row>
    <row r="427" spans="1:5" x14ac:dyDescent="0.35">
      <c r="A427" s="60" t="s">
        <v>1423</v>
      </c>
      <c r="B427" s="351">
        <v>10.77779106071972</v>
      </c>
      <c r="C427" s="352" t="s">
        <v>698</v>
      </c>
      <c r="D427" s="356">
        <f>B427*1.0525</f>
        <v>11.343625091407505</v>
      </c>
    </row>
    <row r="428" spans="1:5" x14ac:dyDescent="0.35">
      <c r="A428" s="60" t="s">
        <v>1427</v>
      </c>
      <c r="B428" s="351">
        <v>14.507262182403094</v>
      </c>
      <c r="C428" s="352">
        <v>14.5</v>
      </c>
      <c r="D428" s="351" t="s">
        <v>698</v>
      </c>
    </row>
    <row r="429" spans="1:5" x14ac:dyDescent="0.35">
      <c r="A429" s="60" t="s">
        <v>1471</v>
      </c>
      <c r="B429" s="351">
        <v>64.138039906800785</v>
      </c>
      <c r="C429" s="352" t="s">
        <v>698</v>
      </c>
      <c r="D429" s="351">
        <f>B429*1.0525</f>
        <v>67.505287001907831</v>
      </c>
      <c r="E429" s="21"/>
    </row>
    <row r="430" spans="1:5" x14ac:dyDescent="0.35">
      <c r="A430" s="60" t="s">
        <v>1472</v>
      </c>
      <c r="B430" s="351">
        <v>23.385558583907908</v>
      </c>
      <c r="C430" s="356">
        <f>B430</f>
        <v>23.385558583907908</v>
      </c>
      <c r="D430" s="351" t="s">
        <v>698</v>
      </c>
    </row>
    <row r="431" spans="1:5" x14ac:dyDescent="0.35">
      <c r="A431" s="60"/>
      <c r="B431" s="227"/>
      <c r="D431" t="s">
        <v>1443</v>
      </c>
    </row>
    <row r="432" spans="1:5" x14ac:dyDescent="0.35">
      <c r="A432" s="60"/>
      <c r="B432" s="227"/>
      <c r="D432" t="s">
        <v>1444</v>
      </c>
    </row>
    <row r="433" spans="1:13" x14ac:dyDescent="0.35">
      <c r="A433" s="60"/>
      <c r="B433" s="227"/>
    </row>
    <row r="434" spans="1:13" x14ac:dyDescent="0.35">
      <c r="A434" s="70" t="s">
        <v>1459</v>
      </c>
    </row>
    <row r="435" spans="1:13" x14ac:dyDescent="0.35">
      <c r="A435" t="s">
        <v>787</v>
      </c>
    </row>
    <row r="436" spans="1:13" x14ac:dyDescent="0.35">
      <c r="A436" t="s">
        <v>1455</v>
      </c>
    </row>
    <row r="437" spans="1:13" x14ac:dyDescent="0.35">
      <c r="A437" t="s">
        <v>1483</v>
      </c>
    </row>
    <row r="438" spans="1:13" x14ac:dyDescent="0.35">
      <c r="A438" s="60" t="s">
        <v>1456</v>
      </c>
    </row>
    <row r="439" spans="1:13" x14ac:dyDescent="0.35">
      <c r="A439" s="60" t="s">
        <v>1460</v>
      </c>
    </row>
    <row r="441" spans="1:13" x14ac:dyDescent="0.35">
      <c r="A441" s="60"/>
      <c r="B441" s="227"/>
      <c r="H441" s="268"/>
      <c r="I441" s="268"/>
      <c r="J441" s="268"/>
      <c r="K441" s="269"/>
      <c r="L441" s="269"/>
      <c r="M441" s="268"/>
    </row>
    <row r="442" spans="1:13" x14ac:dyDescent="0.35">
      <c r="A442" s="44" t="s">
        <v>1462</v>
      </c>
      <c r="B442" s="44"/>
      <c r="C442" s="48"/>
      <c r="H442" s="268"/>
      <c r="I442" s="268"/>
      <c r="J442" s="269"/>
      <c r="K442" s="2"/>
      <c r="L442" s="2"/>
      <c r="M442" s="270"/>
    </row>
    <row r="443" spans="1:13" x14ac:dyDescent="0.35">
      <c r="A443" t="s">
        <v>788</v>
      </c>
      <c r="H443" s="268"/>
      <c r="I443" s="268"/>
      <c r="J443" s="268"/>
      <c r="K443" s="268"/>
      <c r="L443" s="268"/>
    </row>
    <row r="444" spans="1:13" x14ac:dyDescent="0.35">
      <c r="A444" t="s">
        <v>789</v>
      </c>
      <c r="H444" s="268"/>
      <c r="I444" s="268"/>
      <c r="J444" s="268"/>
      <c r="K444" s="268"/>
      <c r="L444" s="268"/>
    </row>
    <row r="445" spans="1:13" x14ac:dyDescent="0.35">
      <c r="A445" t="s">
        <v>1435</v>
      </c>
      <c r="H445" s="268"/>
      <c r="I445" s="268"/>
      <c r="J445" s="268"/>
      <c r="K445" s="268"/>
      <c r="L445" s="268"/>
    </row>
    <row r="446" spans="1:13" x14ac:dyDescent="0.35">
      <c r="H446" s="268"/>
      <c r="I446" s="268"/>
      <c r="J446" s="268"/>
      <c r="K446" s="268"/>
      <c r="L446" s="268"/>
    </row>
    <row r="447" spans="1:13" x14ac:dyDescent="0.35">
      <c r="A447" t="s">
        <v>720</v>
      </c>
      <c r="H447" s="268"/>
      <c r="I447" s="268"/>
    </row>
    <row r="448" spans="1:13" x14ac:dyDescent="0.35">
      <c r="C448" s="404" t="s">
        <v>1429</v>
      </c>
      <c r="D448" s="404" t="s">
        <v>1432</v>
      </c>
      <c r="E448" s="404" t="s">
        <v>1433</v>
      </c>
      <c r="F448" s="404" t="s">
        <v>1470</v>
      </c>
      <c r="H448" s="268"/>
      <c r="I448" s="268"/>
    </row>
    <row r="449" spans="1:12" x14ac:dyDescent="0.35">
      <c r="C449" s="352" t="s">
        <v>1425</v>
      </c>
      <c r="D449" s="352" t="s">
        <v>1431</v>
      </c>
      <c r="E449" s="352" t="s">
        <v>1434</v>
      </c>
      <c r="F449" s="352" t="s">
        <v>1473</v>
      </c>
      <c r="H449" s="268"/>
      <c r="I449" s="268"/>
    </row>
    <row r="450" spans="1:12" x14ac:dyDescent="0.35">
      <c r="A450" t="s">
        <v>1438</v>
      </c>
      <c r="C450" s="440">
        <v>80</v>
      </c>
      <c r="D450" s="353">
        <v>175</v>
      </c>
      <c r="E450" s="353">
        <v>60</v>
      </c>
      <c r="F450" s="353">
        <v>100</v>
      </c>
      <c r="G450" t="s">
        <v>1437</v>
      </c>
      <c r="H450" s="268"/>
      <c r="I450" s="268"/>
      <c r="J450" s="280"/>
      <c r="K450" s="281"/>
      <c r="L450" s="268"/>
    </row>
    <row r="451" spans="1:12" x14ac:dyDescent="0.35">
      <c r="A451" t="s">
        <v>790</v>
      </c>
      <c r="C451" s="440">
        <v>2000</v>
      </c>
      <c r="D451" s="353">
        <v>2000</v>
      </c>
      <c r="E451" s="353">
        <v>1300</v>
      </c>
      <c r="F451" s="353">
        <v>8500</v>
      </c>
      <c r="G451" t="s">
        <v>1439</v>
      </c>
      <c r="H451" s="268"/>
      <c r="I451" s="268"/>
      <c r="J451" s="271"/>
      <c r="K451" s="268"/>
      <c r="L451" s="268"/>
    </row>
    <row r="452" spans="1:12" x14ac:dyDescent="0.35">
      <c r="A452" t="s">
        <v>791</v>
      </c>
      <c r="C452" s="361">
        <f>0.01445*C450*C450</f>
        <v>92.47999999999999</v>
      </c>
      <c r="D452" s="361">
        <f>0.01445*D450*D450</f>
        <v>442.53125</v>
      </c>
      <c r="E452" s="361">
        <f>0.01445*E450*E450</f>
        <v>52.019999999999996</v>
      </c>
      <c r="F452" s="361">
        <f>0.01445*F450*F450</f>
        <v>144.49999999999997</v>
      </c>
      <c r="H452" s="268"/>
      <c r="I452" s="268"/>
      <c r="J452" s="271"/>
      <c r="K452" s="268"/>
      <c r="L452" s="268"/>
    </row>
    <row r="453" spans="1:12" x14ac:dyDescent="0.35">
      <c r="A453" t="s">
        <v>30</v>
      </c>
      <c r="C453" s="524">
        <f>+C452*C451</f>
        <v>184959.99999999997</v>
      </c>
      <c r="D453" s="524">
        <f>+D452*D451</f>
        <v>885062.5</v>
      </c>
      <c r="E453" s="524">
        <f>+E452*E451</f>
        <v>67626</v>
      </c>
      <c r="F453" s="524">
        <f>+F452*F451</f>
        <v>1228249.9999999998</v>
      </c>
      <c r="H453" s="268"/>
      <c r="I453" s="268"/>
      <c r="J453" s="272"/>
      <c r="K453" s="268"/>
      <c r="L453" s="268"/>
    </row>
    <row r="454" spans="1:12" x14ac:dyDescent="0.35">
      <c r="A454" t="s">
        <v>31</v>
      </c>
      <c r="H454" s="268"/>
      <c r="I454" s="268"/>
      <c r="J454" s="273"/>
      <c r="K454" s="268"/>
      <c r="L454" s="268"/>
    </row>
    <row r="455" spans="1:12" x14ac:dyDescent="0.35">
      <c r="H455" s="268"/>
      <c r="I455" s="268"/>
      <c r="J455" s="268"/>
      <c r="K455" s="268"/>
      <c r="L455" s="268"/>
    </row>
    <row r="456" spans="1:12" x14ac:dyDescent="0.35">
      <c r="A456" t="s">
        <v>729</v>
      </c>
    </row>
    <row r="457" spans="1:12" x14ac:dyDescent="0.35">
      <c r="A457" t="s">
        <v>797</v>
      </c>
    </row>
    <row r="458" spans="1:12" x14ac:dyDescent="0.35">
      <c r="A458" t="s">
        <v>798</v>
      </c>
    </row>
    <row r="460" spans="1:12" x14ac:dyDescent="0.35">
      <c r="A460" t="s">
        <v>1436</v>
      </c>
      <c r="C460" s="404" t="s">
        <v>1429</v>
      </c>
      <c r="D460" s="404" t="s">
        <v>1432</v>
      </c>
      <c r="E460" s="404" t="s">
        <v>1433</v>
      </c>
      <c r="F460" s="404" t="s">
        <v>1470</v>
      </c>
    </row>
    <row r="461" spans="1:12" x14ac:dyDescent="0.35">
      <c r="A461" s="25" t="s">
        <v>48</v>
      </c>
      <c r="C461" s="352" t="s">
        <v>1425</v>
      </c>
      <c r="D461" s="352" t="s">
        <v>1431</v>
      </c>
      <c r="E461" s="352" t="s">
        <v>1434</v>
      </c>
      <c r="F461" s="352" t="s">
        <v>1473</v>
      </c>
    </row>
    <row r="462" spans="1:12" x14ac:dyDescent="0.35">
      <c r="B462" t="s">
        <v>49</v>
      </c>
      <c r="C462" s="366" t="s">
        <v>50</v>
      </c>
      <c r="D462" s="366" t="s">
        <v>50</v>
      </c>
      <c r="E462" s="366" t="s">
        <v>50</v>
      </c>
      <c r="F462" s="366" t="s">
        <v>50</v>
      </c>
    </row>
    <row r="463" spans="1:12" x14ac:dyDescent="0.35">
      <c r="B463" t="s">
        <v>51</v>
      </c>
      <c r="C463" s="366" t="s">
        <v>52</v>
      </c>
      <c r="D463" s="366" t="s">
        <v>52</v>
      </c>
      <c r="E463" s="366" t="s">
        <v>52</v>
      </c>
      <c r="F463" s="366" t="s">
        <v>52</v>
      </c>
    </row>
    <row r="464" spans="1:12" x14ac:dyDescent="0.35">
      <c r="B464" t="s">
        <v>53</v>
      </c>
      <c r="C464" s="366" t="s">
        <v>54</v>
      </c>
      <c r="D464" s="366" t="s">
        <v>54</v>
      </c>
      <c r="E464" s="366" t="s">
        <v>54</v>
      </c>
      <c r="F464" s="366" t="s">
        <v>54</v>
      </c>
    </row>
    <row r="465" spans="1:6" x14ac:dyDescent="0.35">
      <c r="B465" t="s">
        <v>55</v>
      </c>
      <c r="C465" s="525">
        <v>0.9</v>
      </c>
      <c r="D465" s="525">
        <v>0.9</v>
      </c>
      <c r="E465" s="525">
        <v>0.9</v>
      </c>
      <c r="F465" s="525">
        <v>0.9</v>
      </c>
    </row>
    <row r="466" spans="1:6" x14ac:dyDescent="0.35">
      <c r="B466" t="s">
        <v>56</v>
      </c>
      <c r="C466" s="526">
        <v>146950</v>
      </c>
      <c r="D466" s="526">
        <v>146950</v>
      </c>
      <c r="E466" s="526">
        <v>146950</v>
      </c>
      <c r="F466" s="526">
        <v>146950</v>
      </c>
    </row>
    <row r="467" spans="1:6" x14ac:dyDescent="0.35">
      <c r="B467" t="s">
        <v>57</v>
      </c>
      <c r="C467" s="366">
        <v>28</v>
      </c>
      <c r="D467" s="366">
        <v>28</v>
      </c>
      <c r="E467" s="366">
        <v>28</v>
      </c>
      <c r="F467" s="366">
        <v>28</v>
      </c>
    </row>
    <row r="468" spans="1:6" x14ac:dyDescent="0.35">
      <c r="B468" t="s">
        <v>58</v>
      </c>
      <c r="C468" s="527">
        <v>2800</v>
      </c>
      <c r="D468" s="527">
        <v>2800</v>
      </c>
      <c r="E468" s="527">
        <v>2800</v>
      </c>
      <c r="F468" s="527">
        <v>2800</v>
      </c>
    </row>
    <row r="469" spans="1:6" x14ac:dyDescent="0.35">
      <c r="B469" t="s">
        <v>59</v>
      </c>
      <c r="C469" s="366">
        <v>1</v>
      </c>
      <c r="D469" s="366">
        <v>1</v>
      </c>
      <c r="E469" s="366">
        <v>1</v>
      </c>
      <c r="F469" s="366">
        <v>1</v>
      </c>
    </row>
    <row r="470" spans="1:6" x14ac:dyDescent="0.35">
      <c r="A470" s="25" t="s">
        <v>60</v>
      </c>
      <c r="C470" s="25"/>
      <c r="D470" s="25"/>
      <c r="E470" s="25"/>
      <c r="F470" s="25"/>
    </row>
    <row r="471" spans="1:6" x14ac:dyDescent="0.35">
      <c r="B471" t="s">
        <v>61</v>
      </c>
      <c r="C471" s="526">
        <v>5600</v>
      </c>
      <c r="D471" s="526">
        <v>5600</v>
      </c>
      <c r="E471" s="526">
        <v>5600</v>
      </c>
      <c r="F471" s="526">
        <v>5600</v>
      </c>
    </row>
    <row r="472" spans="1:6" x14ac:dyDescent="0.35">
      <c r="B472" t="s">
        <v>62</v>
      </c>
      <c r="C472" s="366">
        <v>1</v>
      </c>
      <c r="D472" s="366">
        <v>1</v>
      </c>
      <c r="E472" s="366">
        <v>1</v>
      </c>
      <c r="F472" s="366">
        <v>1</v>
      </c>
    </row>
    <row r="473" spans="1:6" x14ac:dyDescent="0.35">
      <c r="B473" t="s">
        <v>733</v>
      </c>
      <c r="C473" s="525">
        <v>0.83</v>
      </c>
      <c r="D473" s="525">
        <v>0.83</v>
      </c>
      <c r="E473" s="525">
        <v>0.83</v>
      </c>
      <c r="F473" s="525">
        <v>0.83</v>
      </c>
    </row>
    <row r="474" spans="1:6" x14ac:dyDescent="0.35">
      <c r="B474" t="s">
        <v>64</v>
      </c>
      <c r="C474" s="525">
        <v>0.75</v>
      </c>
      <c r="D474" s="525">
        <v>0.75</v>
      </c>
      <c r="E474" s="525">
        <v>0.75</v>
      </c>
      <c r="F474" s="525">
        <v>0.75</v>
      </c>
    </row>
    <row r="475" spans="1:6" x14ac:dyDescent="0.35">
      <c r="A475" s="25" t="s">
        <v>65</v>
      </c>
      <c r="C475" s="25"/>
      <c r="D475" s="25"/>
      <c r="E475" s="25"/>
      <c r="F475" s="25"/>
    </row>
    <row r="476" spans="1:6" x14ac:dyDescent="0.35">
      <c r="B476" t="s">
        <v>66</v>
      </c>
      <c r="C476" s="366">
        <v>100</v>
      </c>
      <c r="D476" s="366">
        <v>100</v>
      </c>
      <c r="E476" s="366">
        <v>100</v>
      </c>
      <c r="F476" s="366">
        <v>100</v>
      </c>
    </row>
    <row r="477" spans="1:6" x14ac:dyDescent="0.35">
      <c r="B477" t="s">
        <v>67</v>
      </c>
      <c r="C477" s="525">
        <v>0</v>
      </c>
      <c r="D477" s="525">
        <v>0</v>
      </c>
      <c r="E477" s="525">
        <v>0</v>
      </c>
      <c r="F477" s="525">
        <v>0</v>
      </c>
    </row>
    <row r="478" spans="1:6" x14ac:dyDescent="0.35">
      <c r="B478" t="s">
        <v>68</v>
      </c>
      <c r="C478" s="527">
        <f>C453</f>
        <v>184959.99999999997</v>
      </c>
      <c r="D478" s="527">
        <f>D453</f>
        <v>885062.5</v>
      </c>
      <c r="E478" s="527">
        <f>E453</f>
        <v>67626</v>
      </c>
      <c r="F478" s="527">
        <f>F453</f>
        <v>1228249.9999999998</v>
      </c>
    </row>
    <row r="479" spans="1:6" x14ac:dyDescent="0.35">
      <c r="A479" s="25" t="s">
        <v>69</v>
      </c>
      <c r="C479" s="25"/>
      <c r="D479" s="25"/>
      <c r="E479" s="25"/>
      <c r="F479" s="25"/>
    </row>
    <row r="480" spans="1:6" x14ac:dyDescent="0.35">
      <c r="B480" t="s">
        <v>70</v>
      </c>
      <c r="C480" s="527">
        <v>1500</v>
      </c>
      <c r="D480" s="527">
        <v>1500</v>
      </c>
      <c r="E480" s="527">
        <v>1500</v>
      </c>
      <c r="F480" s="527">
        <v>1500</v>
      </c>
    </row>
    <row r="481" spans="1:7" x14ac:dyDescent="0.35">
      <c r="B481" t="s">
        <v>292</v>
      </c>
      <c r="C481" s="528">
        <f>C480*C473*C474*C465</f>
        <v>840.375</v>
      </c>
      <c r="D481" s="528">
        <f>D480*D473*D474*D465</f>
        <v>840.375</v>
      </c>
      <c r="E481" s="528">
        <f>E480*E473*E474*E465</f>
        <v>840.375</v>
      </c>
      <c r="F481" s="528">
        <f>F480*F473*F474*F465</f>
        <v>840.375</v>
      </c>
    </row>
    <row r="482" spans="1:7" x14ac:dyDescent="0.35">
      <c r="B482" t="s">
        <v>71</v>
      </c>
      <c r="C482" s="526">
        <f>C478/C480</f>
        <v>123.30666666666664</v>
      </c>
      <c r="D482" s="526">
        <f>D478/D480</f>
        <v>590.04166666666663</v>
      </c>
      <c r="E482" s="526">
        <f>E478/E480</f>
        <v>45.084000000000003</v>
      </c>
      <c r="F482" s="526">
        <f>F478/F480</f>
        <v>818.83333333333314</v>
      </c>
    </row>
    <row r="483" spans="1:7" x14ac:dyDescent="0.35">
      <c r="B483" t="s">
        <v>396</v>
      </c>
      <c r="C483" s="529">
        <f>C482/2</f>
        <v>61.653333333333322</v>
      </c>
      <c r="D483" s="529">
        <f>D482/2</f>
        <v>295.02083333333331</v>
      </c>
      <c r="E483" s="529">
        <f>E482/2</f>
        <v>22.542000000000002</v>
      </c>
      <c r="F483" s="529">
        <f>F482/2</f>
        <v>409.41666666666657</v>
      </c>
    </row>
    <row r="484" spans="1:7" x14ac:dyDescent="0.35">
      <c r="B484" t="s">
        <v>397</v>
      </c>
      <c r="C484" s="531">
        <f>C483*'Rates 2020'!$J$11*2</f>
        <v>61447.411199999988</v>
      </c>
      <c r="D484" s="531">
        <f>D483*'Rates 2020'!$J$11*2</f>
        <v>294035.46375</v>
      </c>
      <c r="E484" s="531">
        <f>E483*'Rates 2020'!$J$11*2</f>
        <v>22466.709720000003</v>
      </c>
      <c r="F484" s="531">
        <f>F483*'Rates 2020'!$J$11*2</f>
        <v>408049.21499999991</v>
      </c>
    </row>
    <row r="486" spans="1:7" x14ac:dyDescent="0.35">
      <c r="A486" t="s">
        <v>1440</v>
      </c>
      <c r="C486" s="404" t="s">
        <v>1429</v>
      </c>
      <c r="D486" s="404" t="s">
        <v>1432</v>
      </c>
      <c r="E486" s="404" t="s">
        <v>1433</v>
      </c>
      <c r="F486" s="404" t="s">
        <v>1470</v>
      </c>
    </row>
    <row r="487" spans="1:7" x14ac:dyDescent="0.35">
      <c r="C487" s="352" t="s">
        <v>1425</v>
      </c>
      <c r="D487" s="352" t="s">
        <v>1431</v>
      </c>
      <c r="E487" s="352" t="s">
        <v>1434</v>
      </c>
      <c r="F487" s="352" t="s">
        <v>1473</v>
      </c>
    </row>
    <row r="488" spans="1:7" x14ac:dyDescent="0.35">
      <c r="A488" t="s">
        <v>1442</v>
      </c>
      <c r="C488" s="353">
        <f>C423</f>
        <v>7</v>
      </c>
      <c r="D488" s="353" t="s">
        <v>1441</v>
      </c>
      <c r="E488" s="360">
        <f>C428</f>
        <v>14.5</v>
      </c>
      <c r="F488" s="360">
        <f>C430</f>
        <v>23.385558583907908</v>
      </c>
      <c r="G488" t="s">
        <v>1474</v>
      </c>
    </row>
    <row r="489" spans="1:7" x14ac:dyDescent="0.35">
      <c r="A489" t="s">
        <v>398</v>
      </c>
      <c r="C489" s="353">
        <v>0.5</v>
      </c>
      <c r="D489" s="353">
        <v>0.5</v>
      </c>
      <c r="E489" s="353">
        <v>0.5</v>
      </c>
      <c r="F489" s="353">
        <v>0.5</v>
      </c>
    </row>
    <row r="490" spans="1:7" x14ac:dyDescent="0.35">
      <c r="A490" t="s">
        <v>399</v>
      </c>
      <c r="C490" s="530">
        <f>+C488/C489</f>
        <v>14</v>
      </c>
      <c r="D490" s="530">
        <v>0</v>
      </c>
      <c r="E490" s="533">
        <f>+E488/E489</f>
        <v>29</v>
      </c>
      <c r="F490" s="533">
        <f>+F488/F489</f>
        <v>46.771117167815817</v>
      </c>
    </row>
    <row r="491" spans="1:7" x14ac:dyDescent="0.35">
      <c r="A491" t="s">
        <v>400</v>
      </c>
      <c r="C491" s="532">
        <f>C490*'Rates 2020'!$J$11*2</f>
        <v>13953.24</v>
      </c>
      <c r="D491" s="532">
        <v>0</v>
      </c>
      <c r="E491" s="532">
        <f>E490*'Rates 2020'!$J$11*2</f>
        <v>28903.14</v>
      </c>
      <c r="F491" s="532">
        <f>F490*'Rates 2020'!$J$11*2</f>
        <v>46614.901636475312</v>
      </c>
    </row>
    <row r="493" spans="1:7" x14ac:dyDescent="0.35">
      <c r="C493" s="404" t="s">
        <v>1429</v>
      </c>
      <c r="D493" s="404" t="s">
        <v>1432</v>
      </c>
      <c r="E493" s="404" t="s">
        <v>1433</v>
      </c>
      <c r="F493" s="404" t="s">
        <v>1470</v>
      </c>
    </row>
    <row r="494" spans="1:7" x14ac:dyDescent="0.35">
      <c r="C494" s="352" t="s">
        <v>1425</v>
      </c>
      <c r="D494" s="352" t="s">
        <v>1431</v>
      </c>
      <c r="E494" s="352" t="s">
        <v>1434</v>
      </c>
      <c r="F494" s="352" t="s">
        <v>1473</v>
      </c>
    </row>
    <row r="495" spans="1:7" s="5" customFormat="1" x14ac:dyDescent="0.35">
      <c r="A495" s="449" t="s">
        <v>401</v>
      </c>
      <c r="B495" s="449"/>
      <c r="C495" s="534">
        <f>C491+C484</f>
        <v>75400.651199999993</v>
      </c>
      <c r="D495" s="534">
        <f>D491+D484</f>
        <v>294035.46375</v>
      </c>
      <c r="E495" s="534">
        <f>E491+E484</f>
        <v>51369.849719999998</v>
      </c>
      <c r="F495" s="534">
        <f>F491+F484</f>
        <v>454664.1166364752</v>
      </c>
    </row>
    <row r="498" spans="1:11" x14ac:dyDescent="0.35">
      <c r="A498" s="121" t="s">
        <v>159</v>
      </c>
      <c r="B498" s="44"/>
      <c r="C498" s="44"/>
    </row>
    <row r="499" spans="1:11" x14ac:dyDescent="0.35">
      <c r="A499" t="s">
        <v>160</v>
      </c>
    </row>
    <row r="500" spans="1:11" x14ac:dyDescent="0.35">
      <c r="A500" t="s">
        <v>161</v>
      </c>
    </row>
    <row r="501" spans="1:11" x14ac:dyDescent="0.35">
      <c r="A501" t="s">
        <v>162</v>
      </c>
    </row>
    <row r="502" spans="1:11" x14ac:dyDescent="0.35">
      <c r="A502" t="s">
        <v>799</v>
      </c>
      <c r="I502" s="45"/>
    </row>
    <row r="503" spans="1:11" x14ac:dyDescent="0.35">
      <c r="A503" t="s">
        <v>163</v>
      </c>
      <c r="I503" s="45"/>
    </row>
    <row r="504" spans="1:11" ht="15.5" x14ac:dyDescent="0.35">
      <c r="A504" t="s">
        <v>164</v>
      </c>
      <c r="H504" s="260"/>
      <c r="I504" s="261"/>
      <c r="J504" s="262"/>
    </row>
    <row r="505" spans="1:11" ht="15.5" x14ac:dyDescent="0.35">
      <c r="C505" s="404" t="s">
        <v>1429</v>
      </c>
      <c r="D505" s="404" t="s">
        <v>1432</v>
      </c>
      <c r="E505" s="404" t="s">
        <v>1433</v>
      </c>
      <c r="F505" s="404" t="s">
        <v>1470</v>
      </c>
      <c r="H505" s="260"/>
      <c r="I505" s="22"/>
    </row>
    <row r="506" spans="1:11" x14ac:dyDescent="0.35">
      <c r="C506" s="352" t="s">
        <v>1425</v>
      </c>
      <c r="D506" s="352" t="s">
        <v>1431</v>
      </c>
      <c r="E506" s="352" t="s">
        <v>1434</v>
      </c>
      <c r="F506" s="352" t="s">
        <v>1473</v>
      </c>
    </row>
    <row r="507" spans="1:11" x14ac:dyDescent="0.35">
      <c r="A507" t="s">
        <v>165</v>
      </c>
      <c r="C507" s="440">
        <v>1000</v>
      </c>
      <c r="D507" s="440">
        <v>1000</v>
      </c>
      <c r="E507" s="440">
        <v>650</v>
      </c>
      <c r="F507" s="440">
        <v>7000</v>
      </c>
      <c r="I507" s="24"/>
    </row>
    <row r="508" spans="1:11" x14ac:dyDescent="0.35">
      <c r="A508" t="s">
        <v>166</v>
      </c>
      <c r="C508" s="353">
        <v>100</v>
      </c>
      <c r="D508" s="353">
        <v>100</v>
      </c>
      <c r="E508" s="353">
        <v>100</v>
      </c>
      <c r="F508" s="353">
        <v>100</v>
      </c>
      <c r="I508" s="59"/>
    </row>
    <row r="509" spans="1:11" x14ac:dyDescent="0.35">
      <c r="A509" t="s">
        <v>167</v>
      </c>
      <c r="C509" s="379">
        <f>C507/C508</f>
        <v>10</v>
      </c>
      <c r="D509" s="379">
        <f>D507/D508</f>
        <v>10</v>
      </c>
      <c r="E509" s="379">
        <f>E507/E508</f>
        <v>6.5</v>
      </c>
      <c r="F509" s="379">
        <f>F507/F508</f>
        <v>70</v>
      </c>
    </row>
    <row r="510" spans="1:11" x14ac:dyDescent="0.35">
      <c r="A510" t="s">
        <v>168</v>
      </c>
      <c r="C510" s="390">
        <f>C509*'Rates 2020'!$J$13</f>
        <v>3326.1000000000004</v>
      </c>
      <c r="D510" s="390">
        <f>D509*'Rates 2020'!$J$13</f>
        <v>3326.1000000000004</v>
      </c>
      <c r="E510" s="390">
        <f>E509*'Rates 2020'!$J$13</f>
        <v>2161.9650000000001</v>
      </c>
      <c r="F510" s="390">
        <f>F509*'Rates 2020'!$J$13</f>
        <v>23282.7</v>
      </c>
    </row>
    <row r="511" spans="1:11" x14ac:dyDescent="0.35">
      <c r="A511" t="s">
        <v>169</v>
      </c>
      <c r="C511" s="390">
        <f>+C510*0.15</f>
        <v>498.91500000000002</v>
      </c>
      <c r="D511" s="390">
        <f>+D510*0.15</f>
        <v>498.91500000000002</v>
      </c>
      <c r="E511" s="390">
        <f>+E510*0.15</f>
        <v>324.29475000000002</v>
      </c>
      <c r="F511" s="390">
        <f>+F510*0.15</f>
        <v>3492.4050000000002</v>
      </c>
    </row>
    <row r="512" spans="1:11" x14ac:dyDescent="0.35">
      <c r="A512" t="s">
        <v>170</v>
      </c>
      <c r="C512" s="390">
        <f>SUM(C510:C511)</f>
        <v>3825.0150000000003</v>
      </c>
      <c r="D512" s="390">
        <f>SUM(D510:D511)</f>
        <v>3825.0150000000003</v>
      </c>
      <c r="E512" s="390">
        <f>SUM(E510:E511)</f>
        <v>2486.2597500000002</v>
      </c>
      <c r="F512" s="390">
        <f>SUM(F510:F511)</f>
        <v>26775.105</v>
      </c>
      <c r="H512" s="149"/>
      <c r="I512" s="149"/>
      <c r="J512" s="149"/>
      <c r="K512" s="159"/>
    </row>
    <row r="513" spans="1:11" ht="15.5" x14ac:dyDescent="0.35">
      <c r="A513" s="260"/>
      <c r="B513" s="261"/>
      <c r="C513" s="262"/>
      <c r="H513" s="2"/>
      <c r="I513" s="69"/>
      <c r="J513" s="51"/>
      <c r="K513" s="22"/>
    </row>
    <row r="514" spans="1:11" s="5" customFormat="1" x14ac:dyDescent="0.35">
      <c r="A514" s="294" t="s">
        <v>171</v>
      </c>
      <c r="B514" s="294"/>
      <c r="C514" s="386">
        <f>C512</f>
        <v>3825.0150000000003</v>
      </c>
      <c r="D514" s="386">
        <f>D512</f>
        <v>3825.0150000000003</v>
      </c>
      <c r="E514" s="386">
        <f>E512</f>
        <v>2486.2597500000002</v>
      </c>
      <c r="F514" s="386">
        <f>F512</f>
        <v>26775.105</v>
      </c>
      <c r="H514" s="2"/>
      <c r="I514" s="265"/>
      <c r="J514" s="51"/>
      <c r="K514" s="22"/>
    </row>
    <row r="515" spans="1:11" ht="16" x14ac:dyDescent="0.5">
      <c r="H515" s="2"/>
      <c r="I515" s="2"/>
      <c r="J515" s="51"/>
      <c r="K515" s="196"/>
    </row>
    <row r="516" spans="1:11" x14ac:dyDescent="0.35">
      <c r="I516" s="2"/>
      <c r="J516" s="51"/>
      <c r="K516" s="22"/>
    </row>
    <row r="517" spans="1:11" x14ac:dyDescent="0.35">
      <c r="A517" s="121" t="s">
        <v>180</v>
      </c>
      <c r="B517" s="44"/>
      <c r="J517" s="66"/>
      <c r="K517" s="51"/>
    </row>
    <row r="518" spans="1:11" ht="15.5" x14ac:dyDescent="0.35">
      <c r="A518" t="s">
        <v>160</v>
      </c>
      <c r="B518" s="261"/>
      <c r="C518" s="262"/>
      <c r="J518" s="2"/>
      <c r="K518" s="66"/>
    </row>
    <row r="519" spans="1:11" ht="15.5" x14ac:dyDescent="0.35">
      <c r="A519" t="s">
        <v>181</v>
      </c>
      <c r="B519" s="261"/>
      <c r="C519" s="262"/>
      <c r="I519" s="69"/>
      <c r="J519" s="2"/>
    </row>
    <row r="520" spans="1:11" ht="15.5" x14ac:dyDescent="0.35">
      <c r="A520" t="s">
        <v>1486</v>
      </c>
      <c r="B520" s="261"/>
      <c r="C520" s="262"/>
      <c r="J520" s="2"/>
      <c r="K520" s="51"/>
    </row>
    <row r="521" spans="1:11" ht="15.5" x14ac:dyDescent="0.35">
      <c r="A521" s="260"/>
      <c r="B521" s="261"/>
      <c r="C521" s="262"/>
      <c r="J521" s="2"/>
      <c r="K521" s="51"/>
    </row>
    <row r="522" spans="1:11" x14ac:dyDescent="0.35">
      <c r="A522" t="s">
        <v>1482</v>
      </c>
    </row>
    <row r="523" spans="1:11" x14ac:dyDescent="0.35">
      <c r="C523" s="404" t="s">
        <v>1429</v>
      </c>
      <c r="D523" s="404" t="s">
        <v>1432</v>
      </c>
      <c r="E523" s="404" t="s">
        <v>1433</v>
      </c>
      <c r="F523" s="404" t="s">
        <v>1470</v>
      </c>
    </row>
    <row r="524" spans="1:11" x14ac:dyDescent="0.35">
      <c r="B524" t="s">
        <v>1449</v>
      </c>
      <c r="C524" s="352" t="s">
        <v>1425</v>
      </c>
      <c r="D524" s="352" t="s">
        <v>1431</v>
      </c>
      <c r="E524" s="352" t="s">
        <v>1434</v>
      </c>
      <c r="F524" s="352" t="s">
        <v>1473</v>
      </c>
    </row>
    <row r="525" spans="1:11" x14ac:dyDescent="0.35">
      <c r="A525" t="s">
        <v>1442</v>
      </c>
      <c r="B525" s="2">
        <v>28</v>
      </c>
      <c r="C525" s="352">
        <f>C423</f>
        <v>7</v>
      </c>
      <c r="D525" s="352" t="s">
        <v>1450</v>
      </c>
      <c r="E525" s="356">
        <f>C428</f>
        <v>14.5</v>
      </c>
      <c r="F525" s="356">
        <f>C430</f>
        <v>23.385558583907908</v>
      </c>
    </row>
    <row r="526" spans="1:11" x14ac:dyDescent="0.35">
      <c r="A526" t="s">
        <v>1448</v>
      </c>
      <c r="B526" s="2">
        <v>20</v>
      </c>
      <c r="C526" s="356">
        <f>D423</f>
        <v>12.489358033519666</v>
      </c>
      <c r="D526" s="356">
        <f>D426</f>
        <v>35.564965054336412</v>
      </c>
      <c r="E526" s="356">
        <f>D427</f>
        <v>11.343625091407505</v>
      </c>
      <c r="F526" s="356">
        <f>D429</f>
        <v>67.505287001907831</v>
      </c>
    </row>
    <row r="527" spans="1:11" x14ac:dyDescent="0.35">
      <c r="C527" s="51"/>
      <c r="D527" s="51"/>
      <c r="E527" s="51"/>
      <c r="F527" s="51"/>
    </row>
    <row r="528" spans="1:11" x14ac:dyDescent="0.35">
      <c r="A528" s="149" t="s">
        <v>1451</v>
      </c>
      <c r="C528" s="440">
        <f>(C525*43560*($B$525/12))/27</f>
        <v>26351.111111111109</v>
      </c>
      <c r="D528" s="440" t="s">
        <v>698</v>
      </c>
      <c r="E528" s="440">
        <f>(E525*43560*($B$525/12))/27</f>
        <v>54584.444444444445</v>
      </c>
      <c r="F528" s="440">
        <f>(F525*43560*($B$525/12))/27</f>
        <v>88033.636091422217</v>
      </c>
    </row>
    <row r="529" spans="1:6" x14ac:dyDescent="0.35">
      <c r="A529" s="149" t="s">
        <v>1452</v>
      </c>
      <c r="C529" s="491">
        <f>(C526*43560*($B$526/12))/27</f>
        <v>33582.496045686217</v>
      </c>
      <c r="D529" s="491">
        <f>(D526*43560*($B$526/12))/27</f>
        <v>95630.239368326802</v>
      </c>
      <c r="E529" s="491">
        <f>(E526*43560*($B$526/12))/27</f>
        <v>30501.747468006848</v>
      </c>
      <c r="F529" s="491">
        <f>(F526*43560*($B$526/12))/27</f>
        <v>181514.21616068552</v>
      </c>
    </row>
    <row r="530" spans="1:6" x14ac:dyDescent="0.35">
      <c r="B530" s="2" t="s">
        <v>1453</v>
      </c>
      <c r="C530" s="535">
        <f>C528+C529</f>
        <v>59933.607156797327</v>
      </c>
      <c r="D530" s="535">
        <f>D529</f>
        <v>95630.239368326802</v>
      </c>
      <c r="E530" s="535">
        <f>E528+E529</f>
        <v>85086.191912451293</v>
      </c>
      <c r="F530" s="535">
        <f>F528+F529</f>
        <v>269547.85225210775</v>
      </c>
    </row>
    <row r="531" spans="1:6" x14ac:dyDescent="0.35">
      <c r="A531" t="s">
        <v>172</v>
      </c>
      <c r="B531" s="2"/>
      <c r="C531" s="536">
        <f>C530*1.15</f>
        <v>68923.648230316918</v>
      </c>
      <c r="D531" s="536">
        <f>D530*1.15</f>
        <v>109974.77527357581</v>
      </c>
      <c r="E531" s="536">
        <f>E530*1.15</f>
        <v>97849.120699318984</v>
      </c>
      <c r="F531" s="536">
        <f>F530*1.15</f>
        <v>309980.03008992388</v>
      </c>
    </row>
    <row r="532" spans="1:6" x14ac:dyDescent="0.35">
      <c r="A532" t="s">
        <v>173</v>
      </c>
      <c r="C532" s="362">
        <v>3300</v>
      </c>
      <c r="D532" s="362">
        <v>3300</v>
      </c>
      <c r="E532" s="362">
        <v>3300</v>
      </c>
      <c r="F532" s="362">
        <v>3300</v>
      </c>
    </row>
    <row r="533" spans="1:6" x14ac:dyDescent="0.35">
      <c r="A533" t="s">
        <v>749</v>
      </c>
      <c r="C533" s="362">
        <f>(C531*C532)/2000</f>
        <v>113724.01958002291</v>
      </c>
      <c r="D533" s="362">
        <f>(D531*D532)/2000</f>
        <v>181458.37920140009</v>
      </c>
      <c r="E533" s="362">
        <f>(E531*E532)/2000</f>
        <v>161451.04915387635</v>
      </c>
      <c r="F533" s="362">
        <f>(F531*F532)/2000</f>
        <v>511467.04964837438</v>
      </c>
    </row>
    <row r="534" spans="1:6" x14ac:dyDescent="0.35">
      <c r="A534" t="s">
        <v>792</v>
      </c>
      <c r="C534" s="362">
        <v>11000</v>
      </c>
      <c r="D534" s="362">
        <v>3500</v>
      </c>
      <c r="E534" s="362">
        <v>3500</v>
      </c>
      <c r="F534" s="362">
        <v>2000</v>
      </c>
    </row>
    <row r="535" spans="1:6" ht="15.5" x14ac:dyDescent="0.35">
      <c r="A535" s="260"/>
      <c r="B535" s="261"/>
      <c r="C535" s="262"/>
    </row>
    <row r="536" spans="1:6" ht="15.5" x14ac:dyDescent="0.35">
      <c r="A536" t="s">
        <v>175</v>
      </c>
      <c r="B536" s="261"/>
      <c r="C536" s="262"/>
    </row>
    <row r="537" spans="1:6" ht="15.5" x14ac:dyDescent="0.35">
      <c r="A537" s="60" t="s">
        <v>1481</v>
      </c>
      <c r="B537" s="261"/>
      <c r="C537" s="262"/>
    </row>
    <row r="538" spans="1:6" ht="15.5" x14ac:dyDescent="0.35">
      <c r="A538" s="260"/>
      <c r="B538" s="261"/>
      <c r="C538" s="262"/>
    </row>
    <row r="539" spans="1:6" x14ac:dyDescent="0.35">
      <c r="A539" s="60" t="s">
        <v>212</v>
      </c>
      <c r="D539" s="70">
        <v>12</v>
      </c>
    </row>
    <row r="540" spans="1:6" x14ac:dyDescent="0.35">
      <c r="A540" s="60" t="s">
        <v>213</v>
      </c>
      <c r="D540" s="70">
        <v>20</v>
      </c>
    </row>
    <row r="541" spans="1:6" ht="15.5" x14ac:dyDescent="0.35">
      <c r="A541" s="52"/>
    </row>
    <row r="542" spans="1:6" ht="15.5" x14ac:dyDescent="0.35">
      <c r="A542" s="52"/>
      <c r="C542" s="404" t="s">
        <v>1429</v>
      </c>
      <c r="D542" s="404" t="s">
        <v>1432</v>
      </c>
      <c r="E542" s="404" t="s">
        <v>1433</v>
      </c>
      <c r="F542" s="404" t="s">
        <v>1470</v>
      </c>
    </row>
    <row r="543" spans="1:6" x14ac:dyDescent="0.35">
      <c r="A543" s="79" t="s">
        <v>183</v>
      </c>
      <c r="C543" s="352" t="s">
        <v>1425</v>
      </c>
      <c r="D543" s="352" t="s">
        <v>1431</v>
      </c>
      <c r="E543" s="352" t="s">
        <v>1434</v>
      </c>
      <c r="F543" s="352" t="s">
        <v>1473</v>
      </c>
    </row>
    <row r="544" spans="1:6" x14ac:dyDescent="0.35">
      <c r="A544" t="s">
        <v>184</v>
      </c>
      <c r="C544" s="353">
        <v>2.4500000000000002</v>
      </c>
      <c r="D544" s="353">
        <v>2.4500000000000002</v>
      </c>
      <c r="E544" s="353">
        <v>2.4500000000000002</v>
      </c>
      <c r="F544" s="353">
        <v>2.4500000000000002</v>
      </c>
    </row>
    <row r="545" spans="1:6" x14ac:dyDescent="0.35">
      <c r="A545" t="s">
        <v>185</v>
      </c>
      <c r="C545" s="360">
        <f>C534/((D539*5280)/60)</f>
        <v>10.416666666666666</v>
      </c>
      <c r="D545" s="360">
        <f>D534/((D539*5280)/60)</f>
        <v>3.3143939393939394</v>
      </c>
      <c r="E545" s="360">
        <f>E534/((D539*5280)/60)</f>
        <v>3.3143939393939394</v>
      </c>
      <c r="F545" s="360">
        <f>F534/((D539*5280)/60)</f>
        <v>1.893939393939394</v>
      </c>
    </row>
    <row r="546" spans="1:6" x14ac:dyDescent="0.35">
      <c r="A546" t="s">
        <v>186</v>
      </c>
      <c r="C546" s="353">
        <v>1.6</v>
      </c>
      <c r="D546" s="353">
        <v>1.6</v>
      </c>
      <c r="E546" s="353">
        <v>1.6</v>
      </c>
      <c r="F546" s="353">
        <v>1.6</v>
      </c>
    </row>
    <row r="547" spans="1:6" x14ac:dyDescent="0.35">
      <c r="A547" t="s">
        <v>187</v>
      </c>
      <c r="C547" s="360">
        <f>C534/((D540*5280)/60)</f>
        <v>6.25</v>
      </c>
      <c r="D547" s="360">
        <f>D534/((D540*5280)/60)</f>
        <v>1.9886363636363635</v>
      </c>
      <c r="E547" s="360">
        <f>E534/((D540*5280)/60)</f>
        <v>1.9886363636363635</v>
      </c>
      <c r="F547" s="360">
        <f>F534/((D540*5280)/60)</f>
        <v>1.1363636363636365</v>
      </c>
    </row>
    <row r="548" spans="1:6" x14ac:dyDescent="0.35">
      <c r="A548" t="s">
        <v>188</v>
      </c>
      <c r="C548" s="364">
        <f>SUM(C544:C547)</f>
        <v>20.716666666666669</v>
      </c>
      <c r="D548" s="364">
        <f>SUM(D544:D547)</f>
        <v>9.3530303030303035</v>
      </c>
      <c r="E548" s="364">
        <f>SUM(E544:E547)</f>
        <v>9.3530303030303035</v>
      </c>
      <c r="F548" s="364">
        <f>SUM(F544:F547)</f>
        <v>7.0803030303030301</v>
      </c>
    </row>
    <row r="549" spans="1:6" x14ac:dyDescent="0.35">
      <c r="A549" t="s">
        <v>189</v>
      </c>
      <c r="C549" s="353">
        <v>0</v>
      </c>
      <c r="D549" s="353">
        <v>0</v>
      </c>
      <c r="E549" s="353">
        <v>0</v>
      </c>
      <c r="F549" s="353">
        <v>0</v>
      </c>
    </row>
    <row r="550" spans="1:6" x14ac:dyDescent="0.35">
      <c r="A550" t="s">
        <v>190</v>
      </c>
      <c r="C550" s="353">
        <v>0</v>
      </c>
      <c r="D550" s="353">
        <v>0</v>
      </c>
      <c r="E550" s="353">
        <v>0</v>
      </c>
      <c r="F550" s="353">
        <v>0</v>
      </c>
    </row>
    <row r="551" spans="1:6" x14ac:dyDescent="0.35">
      <c r="A551" t="s">
        <v>192</v>
      </c>
      <c r="C551" s="364">
        <f>SUM(C548:C550)</f>
        <v>20.716666666666669</v>
      </c>
      <c r="D551" s="364">
        <f>SUM(D548:D550)</f>
        <v>9.3530303030303035</v>
      </c>
      <c r="E551" s="364">
        <f>SUM(E548:E550)</f>
        <v>9.3530303030303035</v>
      </c>
      <c r="F551" s="364">
        <f>SUM(F548:F550)</f>
        <v>7.0803030303030301</v>
      </c>
    </row>
    <row r="552" spans="1:6" x14ac:dyDescent="0.35">
      <c r="A552" t="s">
        <v>193</v>
      </c>
      <c r="C552" s="364">
        <f>60/C551</f>
        <v>2.8962188254223649</v>
      </c>
      <c r="D552" s="364">
        <f>60/D551</f>
        <v>6.4150332091365625</v>
      </c>
      <c r="E552" s="364">
        <f>60/E551</f>
        <v>6.4150332091365625</v>
      </c>
      <c r="F552" s="364">
        <f>60/F551</f>
        <v>8.4742135673015202</v>
      </c>
    </row>
    <row r="553" spans="1:6" x14ac:dyDescent="0.35">
      <c r="A553" s="58" t="s">
        <v>191</v>
      </c>
      <c r="C553" s="503">
        <f>C545+C546+C547</f>
        <v>18.266666666666666</v>
      </c>
      <c r="D553" s="503">
        <f>D545+D546+D547</f>
        <v>6.9030303030303024</v>
      </c>
      <c r="E553" s="503">
        <f>E545+E546+E547</f>
        <v>6.9030303030303024</v>
      </c>
      <c r="F553" s="503">
        <f>F545+F546+F547</f>
        <v>4.6303030303030308</v>
      </c>
    </row>
    <row r="554" spans="1:6" x14ac:dyDescent="0.35">
      <c r="A554" s="73" t="s">
        <v>230</v>
      </c>
      <c r="C554" s="504">
        <f>C553/C544</f>
        <v>7.4557823129251695</v>
      </c>
      <c r="D554" s="504">
        <f>D553/D544</f>
        <v>2.8175633889919598</v>
      </c>
      <c r="E554" s="504">
        <f>E553/E544</f>
        <v>2.8175633889919598</v>
      </c>
      <c r="F554" s="504">
        <f>F553/F544</f>
        <v>1.8899196042053186</v>
      </c>
    </row>
    <row r="555" spans="1:6" x14ac:dyDescent="0.35">
      <c r="C555" s="55"/>
      <c r="D555" s="55"/>
      <c r="E555" s="55"/>
      <c r="F555" s="55"/>
    </row>
    <row r="556" spans="1:6" x14ac:dyDescent="0.35">
      <c r="A556" t="s">
        <v>221</v>
      </c>
      <c r="C556" s="366">
        <v>77</v>
      </c>
      <c r="D556" s="366">
        <v>77</v>
      </c>
      <c r="E556" s="366">
        <v>77</v>
      </c>
      <c r="F556" s="366">
        <v>77</v>
      </c>
    </row>
    <row r="557" spans="1:6" x14ac:dyDescent="0.35">
      <c r="A557" t="s">
        <v>224</v>
      </c>
      <c r="C557" s="401">
        <f>C552*C556</f>
        <v>223.0088495575221</v>
      </c>
      <c r="D557" s="401">
        <f>D552*D556</f>
        <v>493.95755710351528</v>
      </c>
      <c r="E557" s="401">
        <f>E552*E556</f>
        <v>493.95755710351528</v>
      </c>
      <c r="F557" s="401">
        <f>F552*F556</f>
        <v>652.514444682217</v>
      </c>
    </row>
    <row r="559" spans="1:6" x14ac:dyDescent="0.35">
      <c r="A559" s="56" t="s">
        <v>222</v>
      </c>
      <c r="C559" s="361">
        <f>C556/15</f>
        <v>5.1333333333333337</v>
      </c>
      <c r="D559" s="361">
        <f>D556/15</f>
        <v>5.1333333333333337</v>
      </c>
      <c r="E559" s="361">
        <f>E556/15</f>
        <v>5.1333333333333337</v>
      </c>
      <c r="F559" s="361">
        <f>F556/15</f>
        <v>5.1333333333333337</v>
      </c>
    </row>
    <row r="560" spans="1:6" x14ac:dyDescent="0.35">
      <c r="A560" t="s">
        <v>194</v>
      </c>
      <c r="C560" s="353">
        <v>0.7</v>
      </c>
      <c r="D560" s="353">
        <v>0.7</v>
      </c>
      <c r="E560" s="353">
        <v>0.7</v>
      </c>
      <c r="F560" s="353">
        <v>0.7</v>
      </c>
    </row>
    <row r="561" spans="1:8" x14ac:dyDescent="0.35">
      <c r="A561" t="s">
        <v>195</v>
      </c>
      <c r="C561" s="360">
        <f>C559*C560</f>
        <v>3.5933333333333333</v>
      </c>
      <c r="D561" s="360">
        <f>D559*D560</f>
        <v>3.5933333333333333</v>
      </c>
      <c r="E561" s="360">
        <f>E559*E560</f>
        <v>3.5933333333333333</v>
      </c>
      <c r="F561" s="360">
        <f>F559*F560</f>
        <v>3.5933333333333333</v>
      </c>
    </row>
    <row r="562" spans="1:8" x14ac:dyDescent="0.35">
      <c r="A562" t="s">
        <v>196</v>
      </c>
      <c r="C562" s="361">
        <f>C551/C561</f>
        <v>5.7653061224489806</v>
      </c>
      <c r="D562" s="361">
        <f>D551/D561</f>
        <v>2.6028841288581548</v>
      </c>
      <c r="E562" s="361">
        <f>E551/E561</f>
        <v>2.6028841288581548</v>
      </c>
      <c r="F562" s="361">
        <f>F551/F561</f>
        <v>1.9703997301399898</v>
      </c>
    </row>
    <row r="564" spans="1:8" x14ac:dyDescent="0.35">
      <c r="A564" t="s">
        <v>197</v>
      </c>
      <c r="C564" s="502">
        <f>(C562*C556)/C551</f>
        <v>21.428571428571431</v>
      </c>
      <c r="D564" s="502">
        <f>(D562*D556)/D551</f>
        <v>21.428571428571427</v>
      </c>
      <c r="E564" s="502">
        <f>(E562*E556)/E551</f>
        <v>21.428571428571427</v>
      </c>
      <c r="F564" s="502">
        <f>(F562*F556)/F551</f>
        <v>21.428571428571427</v>
      </c>
    </row>
    <row r="565" spans="1:8" x14ac:dyDescent="0.35">
      <c r="A565" t="s">
        <v>198</v>
      </c>
      <c r="C565" s="361">
        <f>C564*60</f>
        <v>1285.7142857142858</v>
      </c>
      <c r="D565" s="361">
        <f>D564*60</f>
        <v>1285.7142857142856</v>
      </c>
      <c r="E565" s="361">
        <f>E564*60</f>
        <v>1285.7142857142856</v>
      </c>
      <c r="F565" s="361">
        <f>F564*60</f>
        <v>1285.7142857142856</v>
      </c>
    </row>
    <row r="566" spans="1:8" x14ac:dyDescent="0.35">
      <c r="A566" t="s">
        <v>199</v>
      </c>
      <c r="C566" s="364">
        <v>0.83</v>
      </c>
      <c r="D566" s="364">
        <v>0.83</v>
      </c>
      <c r="E566" s="364">
        <v>0.83</v>
      </c>
      <c r="F566" s="364">
        <v>0.83</v>
      </c>
    </row>
    <row r="567" spans="1:8" x14ac:dyDescent="0.35">
      <c r="A567" t="s">
        <v>200</v>
      </c>
      <c r="C567" s="353">
        <v>0.9</v>
      </c>
      <c r="D567" s="353">
        <v>0.9</v>
      </c>
      <c r="E567" s="353">
        <v>0.9</v>
      </c>
      <c r="F567" s="353">
        <v>0.9</v>
      </c>
    </row>
    <row r="568" spans="1:8" x14ac:dyDescent="0.35">
      <c r="A568" t="s">
        <v>201</v>
      </c>
      <c r="C568" s="361">
        <f>C565*C566*C567</f>
        <v>960.42857142857144</v>
      </c>
      <c r="D568" s="361">
        <f>D565*D566*D567</f>
        <v>960.42857142857122</v>
      </c>
      <c r="E568" s="361">
        <f>E565*E566*E567</f>
        <v>960.42857142857122</v>
      </c>
      <c r="F568" s="361">
        <f>F565*F566*F567</f>
        <v>960.42857142857122</v>
      </c>
    </row>
    <row r="569" spans="1:8" x14ac:dyDescent="0.35">
      <c r="A569" t="s">
        <v>202</v>
      </c>
      <c r="C569" s="506">
        <f>C531/C568</f>
        <v>71.763429661195659</v>
      </c>
      <c r="D569" s="506">
        <f>D531/D568</f>
        <v>114.50593885393884</v>
      </c>
      <c r="E569" s="506">
        <f>E531/E568</f>
        <v>101.88068494648714</v>
      </c>
      <c r="F569" s="506">
        <f>F531/F568</f>
        <v>322.75177906135173</v>
      </c>
    </row>
    <row r="570" spans="1:8" x14ac:dyDescent="0.35">
      <c r="C570" s="492"/>
    </row>
    <row r="571" spans="1:8" ht="15.5" x14ac:dyDescent="0.35">
      <c r="A571" s="404" t="s">
        <v>1429</v>
      </c>
      <c r="B571" s="501" t="s">
        <v>1425</v>
      </c>
      <c r="C571" s="262"/>
    </row>
    <row r="572" spans="1:8" x14ac:dyDescent="0.35">
      <c r="B572" s="352" t="s">
        <v>203</v>
      </c>
      <c r="C572" s="352" t="s">
        <v>92</v>
      </c>
      <c r="D572" s="369" t="s">
        <v>214</v>
      </c>
      <c r="E572" s="370" t="s">
        <v>204</v>
      </c>
      <c r="F572" s="355" t="s">
        <v>170</v>
      </c>
      <c r="G572" s="352" t="s">
        <v>205</v>
      </c>
      <c r="H572" s="352" t="s">
        <v>206</v>
      </c>
    </row>
    <row r="573" spans="1:8" x14ac:dyDescent="0.35">
      <c r="A573" t="s">
        <v>207</v>
      </c>
      <c r="B573" s="369">
        <v>1</v>
      </c>
      <c r="C573" s="352" t="s">
        <v>216</v>
      </c>
      <c r="D573" s="369">
        <f>'Rates 2020'!$J$27</f>
        <v>629.72</v>
      </c>
      <c r="E573" s="369">
        <f>B573*$C$569</f>
        <v>71.763429661195659</v>
      </c>
      <c r="F573" s="376">
        <f>D573*E573</f>
        <v>45190.866926248134</v>
      </c>
      <c r="G573" s="371">
        <f>F573/$C$533</f>
        <v>0.39737310634231654</v>
      </c>
      <c r="H573" s="355">
        <f>F573/$C$531</f>
        <v>0.65566562546482232</v>
      </c>
    </row>
    <row r="574" spans="1:8" x14ac:dyDescent="0.35">
      <c r="A574" t="s">
        <v>208</v>
      </c>
      <c r="B574" s="369">
        <f>C562</f>
        <v>5.7653061224489806</v>
      </c>
      <c r="C574" s="369" t="s">
        <v>217</v>
      </c>
      <c r="D574" s="369">
        <f>'Rates 2020'!$J$66</f>
        <v>468.39</v>
      </c>
      <c r="E574" s="369">
        <f>B574*$C$569</f>
        <v>413.7381403936281</v>
      </c>
      <c r="F574" s="376">
        <f>D574*E574</f>
        <v>193790.80757897146</v>
      </c>
      <c r="G574" s="371">
        <f>F574/$C$533</f>
        <v>1.704044653843851</v>
      </c>
      <c r="H574" s="355">
        <f>F574/$C$531</f>
        <v>2.8116736788423538</v>
      </c>
    </row>
    <row r="575" spans="1:8" x14ac:dyDescent="0.35">
      <c r="A575" t="s">
        <v>209</v>
      </c>
      <c r="B575" s="372">
        <v>1</v>
      </c>
      <c r="C575" s="369" t="s">
        <v>218</v>
      </c>
      <c r="D575" s="373">
        <f>'Rates 2020'!$J$51</f>
        <v>194.65</v>
      </c>
      <c r="E575" s="369">
        <f>B575*$C$569</f>
        <v>71.763429661195659</v>
      </c>
      <c r="F575" s="376">
        <f>D575*E575</f>
        <v>13968.751583551735</v>
      </c>
      <c r="G575" s="371">
        <f>F575/$C$533</f>
        <v>0.12283026606989124</v>
      </c>
      <c r="H575" s="355">
        <f>F575/$C$531</f>
        <v>0.20266993901532054</v>
      </c>
    </row>
    <row r="576" spans="1:8" x14ac:dyDescent="0.35">
      <c r="A576" t="s">
        <v>210</v>
      </c>
      <c r="B576" s="372">
        <v>1</v>
      </c>
      <c r="C576" s="369" t="s">
        <v>98</v>
      </c>
      <c r="D576" s="373">
        <f>'Rates 2020'!$J$13</f>
        <v>332.61</v>
      </c>
      <c r="E576" s="369">
        <f>B576*$C$569</f>
        <v>71.763429661195659</v>
      </c>
      <c r="F576" s="376">
        <f>D576*E576</f>
        <v>23869.234339610288</v>
      </c>
      <c r="G576" s="371">
        <f>F576/$C$533</f>
        <v>0.20988736089137694</v>
      </c>
      <c r="H576" s="355">
        <f>F576/$C$531</f>
        <v>0.34631414547077194</v>
      </c>
    </row>
    <row r="577" spans="1:8" x14ac:dyDescent="0.35">
      <c r="A577" t="s">
        <v>210</v>
      </c>
      <c r="B577" s="369">
        <v>1</v>
      </c>
      <c r="C577" s="370" t="s">
        <v>219</v>
      </c>
      <c r="D577" s="373">
        <f>'Rates 2020'!$J$56</f>
        <v>105.45</v>
      </c>
      <c r="E577" s="369">
        <f>B577*$C$569</f>
        <v>71.763429661195659</v>
      </c>
      <c r="F577" s="376">
        <f>D577*E577</f>
        <v>7567.4536577730823</v>
      </c>
      <c r="G577" s="371">
        <f>F577/$C$533</f>
        <v>6.6542263329411919E-2</v>
      </c>
      <c r="H577" s="355">
        <f>F577/$C$531</f>
        <v>0.10979473449352968</v>
      </c>
    </row>
    <row r="578" spans="1:8" x14ac:dyDescent="0.35">
      <c r="A578" t="s">
        <v>220</v>
      </c>
      <c r="B578" s="63">
        <f>SUM(B573:B577)</f>
        <v>9.7653061224489797</v>
      </c>
      <c r="C578" s="63"/>
      <c r="D578" s="2"/>
      <c r="E578" s="63">
        <f>SUM(E573:E577)</f>
        <v>700.79185903841085</v>
      </c>
      <c r="F578" s="385">
        <f>SUM(F573:F577)</f>
        <v>284387.11408615467</v>
      </c>
      <c r="G578" s="71">
        <f>SUM(G573:G577)</f>
        <v>2.5006776504768475</v>
      </c>
      <c r="H578" s="65">
        <f>SUM(H573:H577)</f>
        <v>4.1261181232867985</v>
      </c>
    </row>
    <row r="579" spans="1:8" ht="15.5" x14ac:dyDescent="0.35">
      <c r="A579" s="260"/>
      <c r="C579" s="262"/>
    </row>
    <row r="580" spans="1:8" ht="15.5" x14ac:dyDescent="0.35">
      <c r="A580" s="404" t="s">
        <v>1432</v>
      </c>
      <c r="B580" s="352" t="s">
        <v>1431</v>
      </c>
      <c r="C580" s="262"/>
    </row>
    <row r="581" spans="1:8" x14ac:dyDescent="0.35">
      <c r="B581" s="352" t="s">
        <v>203</v>
      </c>
      <c r="C581" s="352" t="s">
        <v>92</v>
      </c>
      <c r="D581" s="369" t="s">
        <v>214</v>
      </c>
      <c r="E581" s="370" t="s">
        <v>204</v>
      </c>
      <c r="F581" s="355" t="s">
        <v>170</v>
      </c>
      <c r="G581" s="352" t="s">
        <v>205</v>
      </c>
      <c r="H581" s="352" t="s">
        <v>206</v>
      </c>
    </row>
    <row r="582" spans="1:8" x14ac:dyDescent="0.35">
      <c r="A582" t="s">
        <v>207</v>
      </c>
      <c r="B582" s="369">
        <v>1</v>
      </c>
      <c r="C582" s="352" t="s">
        <v>216</v>
      </c>
      <c r="D582" s="369">
        <f>'Rates 2020'!$J$27</f>
        <v>629.72</v>
      </c>
      <c r="E582" s="369">
        <f>B582*$D$569</f>
        <v>114.50593885393884</v>
      </c>
      <c r="F582" s="376">
        <f>D582*E582</f>
        <v>72106.679815102369</v>
      </c>
      <c r="G582" s="371">
        <f>F582/$C$533</f>
        <v>0.63404969399946209</v>
      </c>
      <c r="H582" s="355">
        <f>F582/$C$531</f>
        <v>1.0461819950991125</v>
      </c>
    </row>
    <row r="583" spans="1:8" x14ac:dyDescent="0.35">
      <c r="A583" t="s">
        <v>208</v>
      </c>
      <c r="B583" s="369">
        <f>D554</f>
        <v>2.8175633889919598</v>
      </c>
      <c r="C583" s="369" t="s">
        <v>217</v>
      </c>
      <c r="D583" s="369">
        <f>'Rates 2020'!$J$66</f>
        <v>468.39</v>
      </c>
      <c r="E583" s="369">
        <f>B583*$D$569</f>
        <v>322.62774113701005</v>
      </c>
      <c r="F583" s="376">
        <f>D583*E583</f>
        <v>151115.60767116412</v>
      </c>
      <c r="G583" s="371">
        <f>F583/$C$533</f>
        <v>1.3287923538864215</v>
      </c>
      <c r="H583" s="355">
        <f>F583/$C$531</f>
        <v>2.1925073839125955</v>
      </c>
    </row>
    <row r="584" spans="1:8" x14ac:dyDescent="0.35">
      <c r="A584" t="s">
        <v>209</v>
      </c>
      <c r="B584" s="372">
        <v>1</v>
      </c>
      <c r="C584" s="369" t="s">
        <v>218</v>
      </c>
      <c r="D584" s="373">
        <f>'Rates 2020'!$J$51</f>
        <v>194.65</v>
      </c>
      <c r="E584" s="369">
        <f>B584*$D$569</f>
        <v>114.50593885393884</v>
      </c>
      <c r="F584" s="376">
        <f>D584*E584</f>
        <v>22288.580997919198</v>
      </c>
      <c r="G584" s="371">
        <f>F584/$C$533</f>
        <v>0.19598833280981282</v>
      </c>
      <c r="H584" s="355">
        <f>F584/$C$531</f>
        <v>0.32338074913619114</v>
      </c>
    </row>
    <row r="585" spans="1:8" x14ac:dyDescent="0.35">
      <c r="A585" t="s">
        <v>210</v>
      </c>
      <c r="B585" s="372">
        <v>1</v>
      </c>
      <c r="C585" s="369" t="s">
        <v>98</v>
      </c>
      <c r="D585" s="373">
        <f>'Rates 2020'!$J$13</f>
        <v>332.61</v>
      </c>
      <c r="E585" s="369">
        <f>B585*$D$569</f>
        <v>114.50593885393884</v>
      </c>
      <c r="F585" s="376">
        <f>D585*E585</f>
        <v>38085.820322208601</v>
      </c>
      <c r="G585" s="371">
        <f>F585/$C$533</f>
        <v>0.33489688865076717</v>
      </c>
      <c r="H585" s="355">
        <f>F585/$C$531</f>
        <v>0.55257986627376587</v>
      </c>
    </row>
    <row r="586" spans="1:8" x14ac:dyDescent="0.35">
      <c r="A586" t="s">
        <v>210</v>
      </c>
      <c r="B586" s="369">
        <v>1</v>
      </c>
      <c r="C586" s="370" t="s">
        <v>219</v>
      </c>
      <c r="D586" s="373">
        <f>'Rates 2020'!$J$56</f>
        <v>105.45</v>
      </c>
      <c r="E586" s="369">
        <f>B586*$D$569</f>
        <v>114.50593885393884</v>
      </c>
      <c r="F586" s="376">
        <f>D586*E586</f>
        <v>12074.651252147851</v>
      </c>
      <c r="G586" s="371">
        <f>F586/$C$533</f>
        <v>0.10617503054094404</v>
      </c>
      <c r="H586" s="355">
        <f>F586/$C$531</f>
        <v>0.17518880039255766</v>
      </c>
    </row>
    <row r="587" spans="1:8" x14ac:dyDescent="0.35">
      <c r="A587" t="s">
        <v>220</v>
      </c>
      <c r="B587" s="63">
        <f>SUM(B582:B586)</f>
        <v>6.8175633889919602</v>
      </c>
      <c r="C587" s="63"/>
      <c r="D587" s="2"/>
      <c r="E587" s="63">
        <f>SUM(E582:E586)</f>
        <v>780.65149655276537</v>
      </c>
      <c r="F587" s="385">
        <f>SUM(F582:F586)</f>
        <v>295671.34005854215</v>
      </c>
      <c r="G587" s="71">
        <f>SUM(G582:G586)</f>
        <v>2.5999022998874075</v>
      </c>
      <c r="H587" s="65">
        <f>SUM(H582:H586)</f>
        <v>4.2898387948142229</v>
      </c>
    </row>
    <row r="589" spans="1:8" ht="15.5" x14ac:dyDescent="0.35">
      <c r="A589" s="404" t="s">
        <v>1433</v>
      </c>
      <c r="B589" s="352" t="s">
        <v>1434</v>
      </c>
      <c r="C589" s="262"/>
    </row>
    <row r="590" spans="1:8" x14ac:dyDescent="0.35">
      <c r="B590" s="352" t="s">
        <v>203</v>
      </c>
      <c r="C590" s="352" t="s">
        <v>92</v>
      </c>
      <c r="D590" s="369" t="s">
        <v>214</v>
      </c>
      <c r="E590" s="370" t="s">
        <v>204</v>
      </c>
      <c r="F590" s="355" t="s">
        <v>170</v>
      </c>
      <c r="G590" s="352" t="s">
        <v>205</v>
      </c>
      <c r="H590" s="352" t="s">
        <v>206</v>
      </c>
    </row>
    <row r="591" spans="1:8" x14ac:dyDescent="0.35">
      <c r="A591" t="s">
        <v>207</v>
      </c>
      <c r="B591" s="369">
        <v>1</v>
      </c>
      <c r="C591" s="352" t="s">
        <v>216</v>
      </c>
      <c r="D591" s="369">
        <f>'Rates 2020'!$J$27</f>
        <v>629.72</v>
      </c>
      <c r="E591" s="369">
        <f>B591*$E$569</f>
        <v>101.88068494648714</v>
      </c>
      <c r="F591" s="376">
        <f>D591*E591</f>
        <v>64156.304924501885</v>
      </c>
      <c r="G591" s="371">
        <f>F591/$C$533</f>
        <v>0.56414032111622414</v>
      </c>
      <c r="H591" s="355">
        <f>F591/$C$531</f>
        <v>0.93083152984176976</v>
      </c>
    </row>
    <row r="592" spans="1:8" x14ac:dyDescent="0.35">
      <c r="A592" t="s">
        <v>208</v>
      </c>
      <c r="B592" s="369">
        <f>E554</f>
        <v>2.8175633889919598</v>
      </c>
      <c r="C592" s="369" t="s">
        <v>217</v>
      </c>
      <c r="D592" s="369">
        <f>'Rates 2020'!$J$66</f>
        <v>468.39</v>
      </c>
      <c r="E592" s="369">
        <f>B592*$E$569</f>
        <v>287.05528795064646</v>
      </c>
      <c r="F592" s="376">
        <f>D592*E592</f>
        <v>134453.82632320328</v>
      </c>
      <c r="G592" s="371">
        <f>F592/$C$533</f>
        <v>1.1822816922909909</v>
      </c>
      <c r="H592" s="355">
        <f>F592/$C$531</f>
        <v>1.950764792280135</v>
      </c>
    </row>
    <row r="593" spans="1:8" x14ac:dyDescent="0.35">
      <c r="A593" t="s">
        <v>209</v>
      </c>
      <c r="B593" s="372">
        <v>1</v>
      </c>
      <c r="C593" s="369" t="s">
        <v>218</v>
      </c>
      <c r="D593" s="373">
        <f>'Rates 2020'!$J$51</f>
        <v>194.65</v>
      </c>
      <c r="E593" s="369">
        <f>B593*$E$569</f>
        <v>101.88068494648714</v>
      </c>
      <c r="F593" s="376">
        <f>D593*E593</f>
        <v>19831.075324833721</v>
      </c>
      <c r="G593" s="371">
        <f>F593/$C$533</f>
        <v>0.17437895176470974</v>
      </c>
      <c r="H593" s="355">
        <f>F593/$C$531</f>
        <v>0.28772527041177104</v>
      </c>
    </row>
    <row r="594" spans="1:8" x14ac:dyDescent="0.35">
      <c r="A594" t="s">
        <v>210</v>
      </c>
      <c r="B594" s="372">
        <v>1</v>
      </c>
      <c r="C594" s="369" t="s">
        <v>98</v>
      </c>
      <c r="D594" s="373">
        <f>'Rates 2020'!$J$13</f>
        <v>332.61</v>
      </c>
      <c r="E594" s="369">
        <f>B594*$E$569</f>
        <v>101.88068494648714</v>
      </c>
      <c r="F594" s="376">
        <f>D594*E594</f>
        <v>33886.53462005109</v>
      </c>
      <c r="G594" s="371">
        <f>F594/$C$533</f>
        <v>0.29797165757236121</v>
      </c>
      <c r="H594" s="355">
        <f>F594/$C$531</f>
        <v>0.491653234994396</v>
      </c>
    </row>
    <row r="595" spans="1:8" x14ac:dyDescent="0.35">
      <c r="A595" t="s">
        <v>210</v>
      </c>
      <c r="B595" s="369">
        <v>1</v>
      </c>
      <c r="C595" s="370" t="s">
        <v>219</v>
      </c>
      <c r="D595" s="373">
        <f>'Rates 2020'!$J$56</f>
        <v>105.45</v>
      </c>
      <c r="E595" s="369">
        <f>B595*$E$569</f>
        <v>101.88068494648714</v>
      </c>
      <c r="F595" s="376">
        <f>D595*E595</f>
        <v>10743.318227607069</v>
      </c>
      <c r="G595" s="371">
        <f>F595/$C$533</f>
        <v>9.4468330149440755E-2</v>
      </c>
      <c r="H595" s="355">
        <f>F595/$C$531</f>
        <v>0.15587274474657725</v>
      </c>
    </row>
    <row r="596" spans="1:8" x14ac:dyDescent="0.35">
      <c r="A596" t="s">
        <v>220</v>
      </c>
      <c r="B596" s="63">
        <f>SUM(B591:B595)</f>
        <v>6.8175633889919602</v>
      </c>
      <c r="C596" s="63"/>
      <c r="D596" s="2"/>
      <c r="E596" s="63">
        <f>SUM(E591:E595)</f>
        <v>694.578027736595</v>
      </c>
      <c r="F596" s="385">
        <f>SUM(F591:F595)</f>
        <v>263071.05942019704</v>
      </c>
      <c r="G596" s="71">
        <f>SUM(G591:G595)</f>
        <v>2.3132409528937266</v>
      </c>
      <c r="H596" s="65">
        <f>SUM(H591:H595)</f>
        <v>3.8168475722746491</v>
      </c>
    </row>
    <row r="597" spans="1:8" ht="15.5" x14ac:dyDescent="0.35">
      <c r="A597" s="260"/>
      <c r="B597" s="261"/>
      <c r="C597" s="262"/>
    </row>
    <row r="598" spans="1:8" ht="15.5" x14ac:dyDescent="0.35">
      <c r="A598" s="404" t="s">
        <v>1470</v>
      </c>
      <c r="B598" s="352" t="s">
        <v>1473</v>
      </c>
      <c r="C598" s="262"/>
    </row>
    <row r="599" spans="1:8" x14ac:dyDescent="0.35">
      <c r="B599" s="352" t="s">
        <v>203</v>
      </c>
      <c r="C599" s="352" t="s">
        <v>92</v>
      </c>
      <c r="D599" s="369" t="s">
        <v>214</v>
      </c>
      <c r="E599" s="370" t="s">
        <v>204</v>
      </c>
      <c r="F599" s="355" t="s">
        <v>170</v>
      </c>
      <c r="G599" s="352" t="s">
        <v>205</v>
      </c>
      <c r="H599" s="352" t="s">
        <v>206</v>
      </c>
    </row>
    <row r="600" spans="1:8" x14ac:dyDescent="0.35">
      <c r="A600" t="s">
        <v>207</v>
      </c>
      <c r="B600" s="369">
        <v>1</v>
      </c>
      <c r="C600" s="352" t="s">
        <v>216</v>
      </c>
      <c r="D600" s="369">
        <f>'Rates 2020'!$J$27</f>
        <v>629.72</v>
      </c>
      <c r="E600" s="369">
        <f>B600*$F$569</f>
        <v>322.75177906135173</v>
      </c>
      <c r="F600" s="376">
        <f>D600*E600</f>
        <v>203243.25031051441</v>
      </c>
      <c r="G600" s="371">
        <f>F600/$C$533</f>
        <v>1.7871620354352715</v>
      </c>
      <c r="H600" s="355">
        <f>F600/$C$531</f>
        <v>2.9488173584681978</v>
      </c>
    </row>
    <row r="601" spans="1:8" x14ac:dyDescent="0.35">
      <c r="A601" t="s">
        <v>208</v>
      </c>
      <c r="B601" s="369">
        <f>F562</f>
        <v>1.9703997301399898</v>
      </c>
      <c r="C601" s="369" t="s">
        <v>217</v>
      </c>
      <c r="D601" s="369">
        <f>'Rates 2020'!$J$66</f>
        <v>468.39</v>
      </c>
      <c r="E601" s="369">
        <f>B601*$F$569</f>
        <v>635.95001836468907</v>
      </c>
      <c r="F601" s="376">
        <f>D601*E601</f>
        <v>297872.6291018367</v>
      </c>
      <c r="G601" s="371">
        <f>F601/$C$533</f>
        <v>2.6192587124678264</v>
      </c>
      <c r="H601" s="355">
        <f>F601/$C$531</f>
        <v>4.3217768755719135</v>
      </c>
    </row>
    <row r="602" spans="1:8" x14ac:dyDescent="0.35">
      <c r="A602" t="s">
        <v>209</v>
      </c>
      <c r="B602" s="372">
        <v>1</v>
      </c>
      <c r="C602" s="369" t="s">
        <v>218</v>
      </c>
      <c r="D602" s="373">
        <f>'Rates 2020'!$J$51</f>
        <v>194.65</v>
      </c>
      <c r="E602" s="369">
        <f>B602*$F$569</f>
        <v>322.75177906135173</v>
      </c>
      <c r="F602" s="376">
        <f>D602*E602</f>
        <v>62823.633794292116</v>
      </c>
      <c r="G602" s="371">
        <f>F602/$C$533</f>
        <v>0.55242185447099601</v>
      </c>
      <c r="H602" s="355">
        <f>F602/$C$531</f>
        <v>0.91149605987714333</v>
      </c>
    </row>
    <row r="603" spans="1:8" x14ac:dyDescent="0.35">
      <c r="A603" t="s">
        <v>210</v>
      </c>
      <c r="B603" s="372">
        <v>1</v>
      </c>
      <c r="C603" s="369" t="s">
        <v>98</v>
      </c>
      <c r="D603" s="373">
        <f>'Rates 2020'!$J$13</f>
        <v>332.61</v>
      </c>
      <c r="E603" s="369">
        <f>B603*$F$569</f>
        <v>322.75177906135173</v>
      </c>
      <c r="F603" s="376">
        <f>D603*E603</f>
        <v>107350.4692335962</v>
      </c>
      <c r="G603" s="371">
        <f>F603/$C$533</f>
        <v>0.94395598775031075</v>
      </c>
      <c r="H603" s="355">
        <f>F603/$C$531</f>
        <v>1.5575273797880127</v>
      </c>
    </row>
    <row r="604" spans="1:8" x14ac:dyDescent="0.35">
      <c r="A604" t="s">
        <v>210</v>
      </c>
      <c r="B604" s="369">
        <v>1</v>
      </c>
      <c r="C604" s="370" t="s">
        <v>219</v>
      </c>
      <c r="D604" s="373">
        <f>'Rates 2020'!$J$56</f>
        <v>105.45</v>
      </c>
      <c r="E604" s="369">
        <f>B604*$F$569</f>
        <v>322.75177906135173</v>
      </c>
      <c r="F604" s="376">
        <f>D604*E604</f>
        <v>34034.175102019537</v>
      </c>
      <c r="G604" s="371">
        <f>F604/$C$533</f>
        <v>0.29926989239129986</v>
      </c>
      <c r="H604" s="355">
        <f>F604/$C$531</f>
        <v>0.49379532244564478</v>
      </c>
    </row>
    <row r="605" spans="1:8" x14ac:dyDescent="0.35">
      <c r="A605" t="s">
        <v>220</v>
      </c>
      <c r="B605" s="63">
        <f>SUM(B600:B604)</f>
        <v>5.9703997301399898</v>
      </c>
      <c r="C605" s="63"/>
      <c r="D605" s="2"/>
      <c r="E605" s="63">
        <f>SUM(E600:E604)</f>
        <v>1926.9571346100961</v>
      </c>
      <c r="F605" s="385">
        <f>SUM(F600:F604)</f>
        <v>705324.15754225908</v>
      </c>
      <c r="G605" s="71">
        <f>SUM(G600:G604)</f>
        <v>6.2020684825157053</v>
      </c>
      <c r="H605" s="65">
        <f>SUM(H600:H604)</f>
        <v>10.233412996150911</v>
      </c>
    </row>
    <row r="606" spans="1:8" ht="15.5" x14ac:dyDescent="0.35">
      <c r="A606" s="260"/>
      <c r="B606" s="261"/>
    </row>
    <row r="607" spans="1:8" ht="15.5" x14ac:dyDescent="0.35">
      <c r="A607" s="79" t="s">
        <v>225</v>
      </c>
      <c r="B607" s="261"/>
    </row>
    <row r="608" spans="1:8" ht="15.5" x14ac:dyDescent="0.35">
      <c r="A608" s="60" t="s">
        <v>1481</v>
      </c>
      <c r="B608" s="261"/>
    </row>
    <row r="609" spans="1:6" ht="15.5" x14ac:dyDescent="0.35">
      <c r="A609" s="260"/>
      <c r="B609" s="261"/>
      <c r="C609" s="404" t="s">
        <v>1429</v>
      </c>
      <c r="D609" s="404" t="s">
        <v>1432</v>
      </c>
      <c r="E609" s="404" t="s">
        <v>1433</v>
      </c>
      <c r="F609" s="404" t="s">
        <v>1470</v>
      </c>
    </row>
    <row r="610" spans="1:6" x14ac:dyDescent="0.35">
      <c r="C610" s="352" t="s">
        <v>1425</v>
      </c>
      <c r="D610" s="352" t="s">
        <v>1431</v>
      </c>
      <c r="E610" s="352" t="s">
        <v>1434</v>
      </c>
      <c r="F610" s="352" t="s">
        <v>1473</v>
      </c>
    </row>
    <row r="611" spans="1:6" x14ac:dyDescent="0.35">
      <c r="A611" t="s">
        <v>226</v>
      </c>
      <c r="C611" s="354">
        <f>C569</f>
        <v>71.763429661195659</v>
      </c>
      <c r="D611" s="354">
        <f>D569</f>
        <v>114.50593885393884</v>
      </c>
      <c r="E611" s="354">
        <f>E569</f>
        <v>101.88068494648714</v>
      </c>
      <c r="F611" s="354">
        <f>F569</f>
        <v>322.75177906135173</v>
      </c>
    </row>
    <row r="612" spans="1:6" x14ac:dyDescent="0.35">
      <c r="A612" t="s">
        <v>167</v>
      </c>
      <c r="C612" s="354">
        <f>C611*2</f>
        <v>143.52685932239132</v>
      </c>
      <c r="D612" s="354">
        <f>D611*2</f>
        <v>229.01187770787769</v>
      </c>
      <c r="E612" s="354">
        <f>E611*2</f>
        <v>203.76136989297427</v>
      </c>
      <c r="F612" s="354">
        <f>F611*2</f>
        <v>645.50355812270345</v>
      </c>
    </row>
    <row r="613" spans="1:6" x14ac:dyDescent="0.35">
      <c r="A613" t="s">
        <v>227</v>
      </c>
      <c r="B613" s="25" t="s">
        <v>228</v>
      </c>
      <c r="C613" s="376">
        <f>C612*'Rates 2020'!$J$11</f>
        <v>71523.739806127269</v>
      </c>
      <c r="D613" s="376">
        <f>D612*'Rates 2020'!$J$11</f>
        <v>114123.48901816669</v>
      </c>
      <c r="E613" s="376">
        <f>E612*'Rates 2020'!$J$11</f>
        <v>101540.40345876587</v>
      </c>
      <c r="F613" s="376">
        <f>F612*'Rates 2020'!$J$11</f>
        <v>321673.78811928682</v>
      </c>
    </row>
    <row r="614" spans="1:6" x14ac:dyDescent="0.35">
      <c r="B614" s="25" t="s">
        <v>228</v>
      </c>
      <c r="C614" s="376">
        <f>C612*'Rates 2020'!$J$11</f>
        <v>71523.739806127269</v>
      </c>
      <c r="D614" s="376">
        <f>D612*'Rates 2020'!$J$11</f>
        <v>114123.48901816669</v>
      </c>
      <c r="E614" s="376">
        <f>E612*'Rates 2020'!$J$11</f>
        <v>101540.40345876587</v>
      </c>
      <c r="F614" s="376">
        <f>F612*'Rates 2020'!$J$11</f>
        <v>321673.78811928682</v>
      </c>
    </row>
    <row r="615" spans="1:6" x14ac:dyDescent="0.35">
      <c r="B615" s="25" t="s">
        <v>83</v>
      </c>
      <c r="C615" s="385">
        <f>SUM(C613:C614)</f>
        <v>143047.47961225454</v>
      </c>
      <c r="D615" s="385">
        <f>SUM(D613:D614)</f>
        <v>228246.97803633337</v>
      </c>
      <c r="E615" s="385">
        <f>SUM(E613:E614)</f>
        <v>203080.80691753174</v>
      </c>
      <c r="F615" s="385">
        <f>SUM(F613:F614)</f>
        <v>643347.57623857365</v>
      </c>
    </row>
    <row r="617" spans="1:6" x14ac:dyDescent="0.35">
      <c r="C617" s="404" t="s">
        <v>1429</v>
      </c>
      <c r="D617" s="404" t="s">
        <v>1432</v>
      </c>
      <c r="E617" s="404" t="s">
        <v>1433</v>
      </c>
      <c r="F617" s="404" t="s">
        <v>1470</v>
      </c>
    </row>
    <row r="618" spans="1:6" x14ac:dyDescent="0.35">
      <c r="C618" s="352" t="s">
        <v>1425</v>
      </c>
      <c r="D618" s="352" t="s">
        <v>1431</v>
      </c>
      <c r="E618" s="352" t="s">
        <v>1434</v>
      </c>
      <c r="F618" s="352" t="s">
        <v>1473</v>
      </c>
    </row>
    <row r="619" spans="1:6" s="5" customFormat="1" x14ac:dyDescent="0.35">
      <c r="A619" s="294" t="s">
        <v>229</v>
      </c>
      <c r="B619" s="294"/>
      <c r="C619" s="386">
        <f>C615+F578</f>
        <v>427434.59369840921</v>
      </c>
      <c r="D619" s="386">
        <f>D615+F587</f>
        <v>523918.31809487555</v>
      </c>
      <c r="E619" s="386">
        <f>E615+F596</f>
        <v>466151.8663377288</v>
      </c>
      <c r="F619" s="386">
        <f>F615+F605</f>
        <v>1348671.7337808327</v>
      </c>
    </row>
    <row r="622" spans="1:6" x14ac:dyDescent="0.35">
      <c r="A622" s="121" t="s">
        <v>231</v>
      </c>
      <c r="C622" s="60"/>
      <c r="D622" s="275"/>
    </row>
    <row r="623" spans="1:6" x14ac:dyDescent="0.35">
      <c r="A623" t="s">
        <v>160</v>
      </c>
    </row>
    <row r="624" spans="1:6" x14ac:dyDescent="0.35">
      <c r="A624" t="s">
        <v>232</v>
      </c>
    </row>
    <row r="625" spans="1:9" x14ac:dyDescent="0.35">
      <c r="A625" t="s">
        <v>233</v>
      </c>
    </row>
    <row r="626" spans="1:9" x14ac:dyDescent="0.35">
      <c r="A626" t="s">
        <v>793</v>
      </c>
    </row>
    <row r="627" spans="1:9" x14ac:dyDescent="0.35">
      <c r="A627" t="s">
        <v>800</v>
      </c>
      <c r="C627" s="60"/>
    </row>
    <row r="628" spans="1:9" x14ac:dyDescent="0.35">
      <c r="A628" t="s">
        <v>795</v>
      </c>
      <c r="C628" s="60"/>
    </row>
    <row r="629" spans="1:9" x14ac:dyDescent="0.35">
      <c r="A629" t="s">
        <v>234</v>
      </c>
    </row>
    <row r="631" spans="1:9" x14ac:dyDescent="0.35">
      <c r="C631" s="404" t="s">
        <v>1429</v>
      </c>
      <c r="D631" s="404" t="s">
        <v>1432</v>
      </c>
      <c r="E631" s="404" t="s">
        <v>1433</v>
      </c>
      <c r="F631" s="404" t="s">
        <v>1470</v>
      </c>
    </row>
    <row r="632" spans="1:9" x14ac:dyDescent="0.35">
      <c r="C632" s="352" t="s">
        <v>1425</v>
      </c>
      <c r="D632" s="352" t="s">
        <v>1431</v>
      </c>
      <c r="E632" s="352" t="s">
        <v>1434</v>
      </c>
      <c r="F632" s="352" t="s">
        <v>1473</v>
      </c>
    </row>
    <row r="633" spans="1:9" x14ac:dyDescent="0.35">
      <c r="B633" s="88" t="s">
        <v>235</v>
      </c>
      <c r="C633" s="415" t="s">
        <v>1159</v>
      </c>
      <c r="D633" s="415"/>
      <c r="E633" s="415"/>
      <c r="F633" s="415"/>
      <c r="G633" s="415" t="s">
        <v>237</v>
      </c>
      <c r="H633" s="415" t="s">
        <v>238</v>
      </c>
      <c r="I633" s="415" t="s">
        <v>239</v>
      </c>
    </row>
    <row r="634" spans="1:9" x14ac:dyDescent="0.35">
      <c r="B634" s="86" t="s">
        <v>241</v>
      </c>
      <c r="C634" s="509">
        <f>$C$531</f>
        <v>68923.648230316918</v>
      </c>
      <c r="D634" s="509">
        <f>$D$531</f>
        <v>109974.77527357581</v>
      </c>
      <c r="E634" s="509">
        <f>$E$531</f>
        <v>97849.120699318984</v>
      </c>
      <c r="F634" s="509">
        <f>$F$531</f>
        <v>309980.03008992388</v>
      </c>
      <c r="G634" s="510">
        <v>2500</v>
      </c>
      <c r="H634" s="352">
        <v>0</v>
      </c>
      <c r="I634" s="352" t="s">
        <v>242</v>
      </c>
    </row>
    <row r="635" spans="1:9" x14ac:dyDescent="0.35">
      <c r="B635" s="86" t="s">
        <v>243</v>
      </c>
      <c r="C635" s="509">
        <f>$C$531</f>
        <v>68923.648230316918</v>
      </c>
      <c r="D635" s="509">
        <f>$D$531</f>
        <v>109974.77527357581</v>
      </c>
      <c r="E635" s="509">
        <f>$E$531</f>
        <v>97849.120699318984</v>
      </c>
      <c r="F635" s="509">
        <f>$F$531</f>
        <v>309980.03008992388</v>
      </c>
      <c r="G635" s="510">
        <v>30000</v>
      </c>
      <c r="H635" s="352">
        <f>200+25</f>
        <v>225</v>
      </c>
      <c r="I635" s="352">
        <v>10</v>
      </c>
    </row>
    <row r="636" spans="1:9" x14ac:dyDescent="0.35">
      <c r="B636" s="86" t="s">
        <v>244</v>
      </c>
      <c r="C636" s="509">
        <f>$C$531</f>
        <v>68923.648230316918</v>
      </c>
      <c r="D636" s="509">
        <f>$D$531</f>
        <v>109974.77527357581</v>
      </c>
      <c r="E636" s="509">
        <f>$E$531</f>
        <v>97849.120699318984</v>
      </c>
      <c r="F636" s="509">
        <f>$F$531</f>
        <v>309980.03008992388</v>
      </c>
      <c r="G636" s="510">
        <v>10000</v>
      </c>
      <c r="H636" s="352">
        <v>45</v>
      </c>
      <c r="I636" s="352">
        <v>10</v>
      </c>
    </row>
    <row r="637" spans="1:9" x14ac:dyDescent="0.35">
      <c r="B637" s="87" t="s">
        <v>245</v>
      </c>
      <c r="C637" s="509">
        <f>$C$531</f>
        <v>68923.648230316918</v>
      </c>
      <c r="D637" s="509">
        <f>$D$531</f>
        <v>109974.77527357581</v>
      </c>
      <c r="E637" s="509">
        <f>$E$531</f>
        <v>97849.120699318984</v>
      </c>
      <c r="F637" s="509">
        <f>$F$531</f>
        <v>309980.03008992388</v>
      </c>
      <c r="G637" s="510">
        <v>2500</v>
      </c>
      <c r="H637" s="352">
        <v>15</v>
      </c>
      <c r="I637" s="352">
        <v>10</v>
      </c>
    </row>
    <row r="638" spans="1:9" x14ac:dyDescent="0.35">
      <c r="C638" s="511">
        <f>((C635/$G$635)*($H$635+$I$635))+((C636/$G$636)*($H$636+$I$636))+((C637/$G$637)*($H$637+$I$637))</f>
        <v>1608.2184587073946</v>
      </c>
      <c r="D638" s="511">
        <f>((D635/$G$635)*($H$635+$I$635))+((D636/$G$636)*($H$636+$I$636))+((D637/$G$637)*($H$637+$I$637))</f>
        <v>2566.0780897167692</v>
      </c>
      <c r="E638" s="511">
        <f>((E635/$G$635)*($H$635+$I$635))+((E636/$G$636)*($H$636+$I$636))+((E637/$G$637)*($H$637+$I$637))</f>
        <v>2283.1461496507764</v>
      </c>
      <c r="F638" s="511">
        <f>((F635/$G$635)*($H$635+$I$635))+((F636/$G$636)*($H$636+$I$636))+((F637/$G$637)*($H$637+$I$637))</f>
        <v>7232.8673687648898</v>
      </c>
    </row>
    <row r="640" spans="1:9" x14ac:dyDescent="0.35">
      <c r="A640" t="s">
        <v>246</v>
      </c>
    </row>
    <row r="641" spans="1:6" x14ac:dyDescent="0.35">
      <c r="A641" t="s">
        <v>247</v>
      </c>
    </row>
    <row r="642" spans="1:6" x14ac:dyDescent="0.35">
      <c r="A642" s="93" t="s">
        <v>681</v>
      </c>
    </row>
    <row r="643" spans="1:6" x14ac:dyDescent="0.35">
      <c r="A643" s="93" t="s">
        <v>248</v>
      </c>
    </row>
    <row r="645" spans="1:6" x14ac:dyDescent="0.35">
      <c r="C645" s="404" t="s">
        <v>1429</v>
      </c>
      <c r="D645" s="404" t="s">
        <v>1432</v>
      </c>
      <c r="E645" s="404" t="s">
        <v>1433</v>
      </c>
      <c r="F645" s="404" t="s">
        <v>1470</v>
      </c>
    </row>
    <row r="646" spans="1:6" x14ac:dyDescent="0.35">
      <c r="A646" t="s">
        <v>249</v>
      </c>
      <c r="C646" s="352" t="s">
        <v>1425</v>
      </c>
      <c r="D646" s="352" t="s">
        <v>1431</v>
      </c>
      <c r="E646" s="352" t="s">
        <v>1434</v>
      </c>
      <c r="F646" s="352" t="s">
        <v>1473</v>
      </c>
    </row>
    <row r="647" spans="1:6" x14ac:dyDescent="0.35">
      <c r="A647" t="s">
        <v>250</v>
      </c>
      <c r="C647" s="360">
        <f>C525+C526</f>
        <v>19.489358033519665</v>
      </c>
      <c r="D647" s="360">
        <f>D526</f>
        <v>35.564965054336412</v>
      </c>
      <c r="E647" s="360">
        <f>E525+E526</f>
        <v>25.843625091407503</v>
      </c>
      <c r="F647" s="360">
        <f>F525+F526</f>
        <v>90.89084558581574</v>
      </c>
    </row>
    <row r="648" spans="1:6" x14ac:dyDescent="0.35">
      <c r="A648" t="s">
        <v>251</v>
      </c>
      <c r="C648" s="353">
        <v>1000</v>
      </c>
      <c r="D648" s="353">
        <v>1000</v>
      </c>
      <c r="E648" s="353">
        <v>1000</v>
      </c>
      <c r="F648" s="353">
        <v>1000</v>
      </c>
    </row>
    <row r="649" spans="1:6" x14ac:dyDescent="0.35">
      <c r="A649" t="s">
        <v>252</v>
      </c>
      <c r="C649" s="388">
        <v>25</v>
      </c>
      <c r="D649" s="388">
        <v>25</v>
      </c>
      <c r="E649" s="388">
        <v>25</v>
      </c>
      <c r="F649" s="388">
        <v>25</v>
      </c>
    </row>
    <row r="650" spans="1:6" x14ac:dyDescent="0.35">
      <c r="A650" t="s">
        <v>253</v>
      </c>
      <c r="C650" s="389">
        <f>((C647*23*2000)/C648)*C649</f>
        <v>22412.761738547611</v>
      </c>
      <c r="D650" s="389">
        <f>((D647*23*2000)/D648)*D649</f>
        <v>40899.709812486872</v>
      </c>
      <c r="E650" s="389">
        <f>((E647*23*2000)/E648)*E649</f>
        <v>29720.168855118631</v>
      </c>
      <c r="F650" s="389">
        <f>((F647*23*2000)/F648)*F649</f>
        <v>104524.4724236881</v>
      </c>
    </row>
    <row r="652" spans="1:6" x14ac:dyDescent="0.35">
      <c r="A652" t="s">
        <v>1183</v>
      </c>
    </row>
    <row r="653" spans="1:6" x14ac:dyDescent="0.35">
      <c r="A653" t="s">
        <v>272</v>
      </c>
    </row>
    <row r="654" spans="1:6" x14ac:dyDescent="0.35">
      <c r="A654" t="s">
        <v>254</v>
      </c>
    </row>
    <row r="655" spans="1:6" x14ac:dyDescent="0.35">
      <c r="A655" t="s">
        <v>255</v>
      </c>
    </row>
    <row r="656" spans="1:6" x14ac:dyDescent="0.35">
      <c r="A656" t="s">
        <v>256</v>
      </c>
    </row>
    <row r="657" spans="1:6" ht="15.5" x14ac:dyDescent="0.35">
      <c r="A657" s="260"/>
      <c r="B657" s="261"/>
    </row>
    <row r="658" spans="1:6" x14ac:dyDescent="0.35">
      <c r="A658" t="s">
        <v>257</v>
      </c>
    </row>
    <row r="659" spans="1:6" x14ac:dyDescent="0.35">
      <c r="A659" t="s">
        <v>258</v>
      </c>
      <c r="C659" s="353">
        <v>150</v>
      </c>
      <c r="D659" s="353">
        <v>150</v>
      </c>
      <c r="E659" s="353">
        <v>150</v>
      </c>
      <c r="F659" s="353">
        <v>150</v>
      </c>
    </row>
    <row r="660" spans="1:6" x14ac:dyDescent="0.35">
      <c r="A660" t="s">
        <v>259</v>
      </c>
      <c r="C660" s="362">
        <f>C569</f>
        <v>71.763429661195659</v>
      </c>
      <c r="D660" s="362">
        <f>D569</f>
        <v>114.50593885393884</v>
      </c>
      <c r="E660" s="362">
        <f>E569</f>
        <v>101.88068494648714</v>
      </c>
      <c r="F660" s="362">
        <f>F569</f>
        <v>322.75177906135173</v>
      </c>
    </row>
    <row r="661" spans="1:6" x14ac:dyDescent="0.35">
      <c r="A661" t="s">
        <v>260</v>
      </c>
      <c r="C661" s="391">
        <f>C659*C660</f>
        <v>10764.514449179349</v>
      </c>
      <c r="D661" s="391">
        <f>D659*D660</f>
        <v>17175.890828090825</v>
      </c>
      <c r="E661" s="391">
        <f>E659*E660</f>
        <v>15282.102741973071</v>
      </c>
      <c r="F661" s="391">
        <f>F659*F660</f>
        <v>48412.766859202762</v>
      </c>
    </row>
    <row r="662" spans="1:6" ht="15.5" x14ac:dyDescent="0.35">
      <c r="A662" s="260"/>
      <c r="C662" s="262"/>
      <c r="D662" s="262"/>
      <c r="E662" s="262"/>
      <c r="F662" s="262"/>
    </row>
    <row r="663" spans="1:6" x14ac:dyDescent="0.35">
      <c r="A663" t="s">
        <v>261</v>
      </c>
    </row>
    <row r="664" spans="1:6" x14ac:dyDescent="0.35">
      <c r="A664" t="s">
        <v>262</v>
      </c>
      <c r="C664" s="353">
        <v>200</v>
      </c>
      <c r="D664" s="353">
        <v>200</v>
      </c>
      <c r="E664" s="353">
        <v>200</v>
      </c>
      <c r="F664" s="353">
        <v>200</v>
      </c>
    </row>
    <row r="665" spans="1:6" x14ac:dyDescent="0.35">
      <c r="A665" t="s">
        <v>263</v>
      </c>
      <c r="C665" s="515">
        <f>C569/200</f>
        <v>0.35881714830597827</v>
      </c>
      <c r="D665" s="515">
        <f>D569/200</f>
        <v>0.57252969426969424</v>
      </c>
      <c r="E665" s="515">
        <f>E569/200</f>
        <v>0.50940342473243572</v>
      </c>
      <c r="F665" s="515">
        <f>F569/200</f>
        <v>1.6137588953067585</v>
      </c>
    </row>
    <row r="666" spans="1:6" x14ac:dyDescent="0.35">
      <c r="A666" t="s">
        <v>264</v>
      </c>
      <c r="C666" s="392">
        <f>C664*C665</f>
        <v>71.763429661195659</v>
      </c>
      <c r="D666" s="392">
        <f>D664*D665</f>
        <v>114.50593885393884</v>
      </c>
      <c r="E666" s="392">
        <f>E664*E665</f>
        <v>101.88068494648715</v>
      </c>
      <c r="F666" s="392">
        <f>F664*F665</f>
        <v>322.75177906135173</v>
      </c>
    </row>
    <row r="668" spans="1:6" ht="15.5" x14ac:dyDescent="0.35">
      <c r="A668" t="s">
        <v>753</v>
      </c>
      <c r="B668" s="261"/>
    </row>
    <row r="669" spans="1:6" ht="15.5" x14ac:dyDescent="0.35">
      <c r="A669" t="s">
        <v>307</v>
      </c>
      <c r="B669" s="261"/>
    </row>
    <row r="670" spans="1:6" ht="15.5" x14ac:dyDescent="0.35">
      <c r="A670" t="s">
        <v>265</v>
      </c>
      <c r="B670" s="261"/>
    </row>
    <row r="671" spans="1:6" ht="15.5" x14ac:dyDescent="0.35">
      <c r="A671" s="260"/>
      <c r="B671" s="261"/>
    </row>
    <row r="672" spans="1:6" x14ac:dyDescent="0.35">
      <c r="A672" t="s">
        <v>266</v>
      </c>
    </row>
    <row r="673" spans="1:6" x14ac:dyDescent="0.35">
      <c r="A673" t="s">
        <v>1454</v>
      </c>
      <c r="C673" s="360">
        <f>C647</f>
        <v>19.489358033519665</v>
      </c>
      <c r="D673" s="360">
        <f>D647</f>
        <v>35.564965054336412</v>
      </c>
      <c r="E673" s="360">
        <f>E647</f>
        <v>25.843625091407503</v>
      </c>
      <c r="F673" s="360">
        <f>F525+F526</f>
        <v>90.89084558581574</v>
      </c>
    </row>
    <row r="674" spans="1:6" x14ac:dyDescent="0.35">
      <c r="A674" t="s">
        <v>267</v>
      </c>
      <c r="C674" s="353">
        <v>0.5</v>
      </c>
      <c r="D674" s="353">
        <v>0.5</v>
      </c>
      <c r="E674" s="353">
        <v>0.5</v>
      </c>
      <c r="F674" s="353">
        <v>0.5</v>
      </c>
    </row>
    <row r="675" spans="1:6" x14ac:dyDescent="0.35">
      <c r="A675" t="s">
        <v>268</v>
      </c>
      <c r="C675" s="380">
        <f>C673/C674</f>
        <v>38.978716067039329</v>
      </c>
      <c r="D675" s="380">
        <f>D673/D674</f>
        <v>71.129930108672824</v>
      </c>
      <c r="E675" s="380">
        <f>E673/E674</f>
        <v>51.687250182815006</v>
      </c>
      <c r="F675" s="380">
        <f>F673/F674</f>
        <v>181.78169117163148</v>
      </c>
    </row>
    <row r="676" spans="1:6" x14ac:dyDescent="0.35">
      <c r="A676" t="s">
        <v>269</v>
      </c>
      <c r="C676" s="391">
        <f>C675*'Rates 2020'!$J$13*2</f>
        <v>25929.421502115903</v>
      </c>
      <c r="D676" s="391">
        <f>D675*'Rates 2020'!$J$13*2</f>
        <v>47317.052106891337</v>
      </c>
      <c r="E676" s="391">
        <f>E675*'Rates 2020'!$J$13*2</f>
        <v>34383.392566612201</v>
      </c>
      <c r="F676" s="391">
        <f>F675*'Rates 2020'!$J$13*2</f>
        <v>120924.8166011927</v>
      </c>
    </row>
    <row r="678" spans="1:6" x14ac:dyDescent="0.35">
      <c r="C678" s="404" t="s">
        <v>1429</v>
      </c>
      <c r="D678" s="404" t="s">
        <v>1432</v>
      </c>
      <c r="E678" s="404" t="s">
        <v>1433</v>
      </c>
      <c r="F678" s="404" t="s">
        <v>1470</v>
      </c>
    </row>
    <row r="679" spans="1:6" x14ac:dyDescent="0.35">
      <c r="C679" s="352" t="s">
        <v>1425</v>
      </c>
      <c r="D679" s="352" t="s">
        <v>1431</v>
      </c>
      <c r="E679" s="352" t="s">
        <v>1434</v>
      </c>
      <c r="F679" s="352" t="s">
        <v>1473</v>
      </c>
    </row>
    <row r="680" spans="1:6" s="5" customFormat="1" x14ac:dyDescent="0.35">
      <c r="A680" s="294" t="s">
        <v>270</v>
      </c>
      <c r="B680" s="294"/>
      <c r="C680" s="393">
        <f>C676+C666+C661+C650+C638</f>
        <v>60786.67957821145</v>
      </c>
      <c r="D680" s="393">
        <f>D676+D666+D661+D650+D638</f>
        <v>108073.23677603975</v>
      </c>
      <c r="E680" s="393">
        <f>E676+E666+E661+E650+E638</f>
        <v>81770.690998301172</v>
      </c>
      <c r="F680" s="393">
        <f>F676+F666+F661+F650+F638</f>
        <v>281417.67503190978</v>
      </c>
    </row>
    <row r="681" spans="1:6" x14ac:dyDescent="0.35">
      <c r="C681" s="2"/>
      <c r="D681" s="2"/>
      <c r="E681" s="2"/>
    </row>
    <row r="682" spans="1:6" x14ac:dyDescent="0.35">
      <c r="C682" s="2"/>
      <c r="D682" s="2"/>
      <c r="E682" s="2"/>
    </row>
    <row r="683" spans="1:6" x14ac:dyDescent="0.35">
      <c r="A683" s="121" t="s">
        <v>274</v>
      </c>
      <c r="B683" s="121"/>
    </row>
    <row r="684" spans="1:6" x14ac:dyDescent="0.35">
      <c r="A684" t="s">
        <v>160</v>
      </c>
    </row>
    <row r="685" spans="1:6" x14ac:dyDescent="0.35">
      <c r="A685" s="60" t="s">
        <v>886</v>
      </c>
    </row>
    <row r="686" spans="1:6" x14ac:dyDescent="0.35">
      <c r="A686" t="s">
        <v>1409</v>
      </c>
    </row>
    <row r="687" spans="1:6" x14ac:dyDescent="0.35">
      <c r="A687" t="s">
        <v>278</v>
      </c>
    </row>
    <row r="689" spans="1:8" x14ac:dyDescent="0.35">
      <c r="C689" s="404" t="s">
        <v>1429</v>
      </c>
      <c r="D689" s="352" t="s">
        <v>1457</v>
      </c>
      <c r="E689" s="404" t="s">
        <v>1432</v>
      </c>
      <c r="F689" s="404" t="s">
        <v>1433</v>
      </c>
      <c r="G689" s="404" t="s">
        <v>1470</v>
      </c>
    </row>
    <row r="690" spans="1:8" x14ac:dyDescent="0.35">
      <c r="C690" s="352" t="s">
        <v>1425</v>
      </c>
      <c r="D690" s="352" t="s">
        <v>1430</v>
      </c>
      <c r="E690" s="352" t="s">
        <v>1431</v>
      </c>
      <c r="F690" s="352" t="s">
        <v>1434</v>
      </c>
      <c r="G690" s="352" t="s">
        <v>1473</v>
      </c>
    </row>
    <row r="691" spans="1:8" x14ac:dyDescent="0.35">
      <c r="A691" t="s">
        <v>801</v>
      </c>
      <c r="C691" s="361">
        <f>C673</f>
        <v>19.489358033519665</v>
      </c>
      <c r="D691" s="360">
        <f>B424</f>
        <v>2.17807588817278</v>
      </c>
      <c r="E691" s="360">
        <f>D673</f>
        <v>35.564965054336412</v>
      </c>
      <c r="F691" s="360">
        <f>E673</f>
        <v>25.843625091407503</v>
      </c>
      <c r="G691" s="360">
        <f>F673</f>
        <v>90.89084558581574</v>
      </c>
    </row>
    <row r="692" spans="1:8" x14ac:dyDescent="0.35">
      <c r="A692" t="s">
        <v>275</v>
      </c>
      <c r="C692" s="440">
        <v>1500</v>
      </c>
      <c r="D692" s="440">
        <v>1500</v>
      </c>
      <c r="E692" s="440">
        <v>1500</v>
      </c>
      <c r="F692" s="440">
        <v>1500</v>
      </c>
      <c r="G692" s="440">
        <v>1500</v>
      </c>
    </row>
    <row r="693" spans="1:8" x14ac:dyDescent="0.35">
      <c r="A693" t="s">
        <v>170</v>
      </c>
      <c r="C693" s="478">
        <f>+C691*C692</f>
        <v>29234.037050279498</v>
      </c>
      <c r="D693" s="478">
        <f>+D691*D692</f>
        <v>3267.1138322591701</v>
      </c>
      <c r="E693" s="478">
        <f>+E691*E692</f>
        <v>53347.447581504617</v>
      </c>
      <c r="F693" s="478">
        <f>+F691*F692</f>
        <v>38765.437637111252</v>
      </c>
      <c r="G693" s="478">
        <f>+G691*G692</f>
        <v>136336.26837872362</v>
      </c>
    </row>
    <row r="695" spans="1:8" s="5" customFormat="1" x14ac:dyDescent="0.35">
      <c r="A695" s="294" t="s">
        <v>276</v>
      </c>
      <c r="B695" s="294"/>
      <c r="C695" s="393">
        <f>C693</f>
        <v>29234.037050279498</v>
      </c>
      <c r="D695" s="393">
        <f>D693</f>
        <v>3267.1138322591701</v>
      </c>
      <c r="E695" s="393">
        <f>E693</f>
        <v>53347.447581504617</v>
      </c>
      <c r="F695" s="393">
        <f>F693</f>
        <v>38765.437637111252</v>
      </c>
      <c r="G695" s="393">
        <f>G693</f>
        <v>136336.26837872362</v>
      </c>
    </row>
    <row r="697" spans="1:8" s="203" customFormat="1" ht="18.5" x14ac:dyDescent="0.45">
      <c r="A697" s="412" t="s">
        <v>1484</v>
      </c>
      <c r="B697" s="537"/>
      <c r="C697" s="413">
        <f>C695+C680+C619+C514+C495</f>
        <v>596680.97652690019</v>
      </c>
      <c r="D697" s="413">
        <f>D695</f>
        <v>3267.1138322591701</v>
      </c>
      <c r="E697" s="413">
        <f>E695+D680+D619+D514+D495</f>
        <v>983199.48120241985</v>
      </c>
      <c r="F697" s="413">
        <f>F695+E680+E619+E514+E495</f>
        <v>640544.10444314126</v>
      </c>
      <c r="G697" s="413">
        <f>G695+F680+F619+F514+F495</f>
        <v>2247864.8988279412</v>
      </c>
    </row>
    <row r="699" spans="1:8" x14ac:dyDescent="0.35">
      <c r="C699" s="59"/>
      <c r="D699" s="59"/>
      <c r="E699" s="59"/>
      <c r="F699" s="59"/>
      <c r="G699" s="59"/>
      <c r="H699" s="59"/>
    </row>
  </sheetData>
  <phoneticPr fontId="64" type="noConversion"/>
  <pageMargins left="0.7" right="0.7" top="0.75" bottom="0.75" header="0.3" footer="0.3"/>
  <pageSetup orientation="portrait" r:id="rId1"/>
  <ignoredErrors>
    <ignoredError sqref="B60:B64" formulaRange="1"/>
    <ignoredError sqref="D530"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499984740745262"/>
  </sheetPr>
  <dimension ref="A1:I188"/>
  <sheetViews>
    <sheetView zoomScale="85" zoomScaleNormal="85" workbookViewId="0">
      <selection activeCell="A4" sqref="A4"/>
    </sheetView>
  </sheetViews>
  <sheetFormatPr defaultRowHeight="14.5" x14ac:dyDescent="0.35"/>
  <cols>
    <col min="1" max="1" width="41.54296875" customWidth="1"/>
    <col min="2" max="2" width="25.54296875" customWidth="1"/>
    <col min="3" max="3" width="21.26953125" customWidth="1"/>
    <col min="4" max="4" width="18.453125" customWidth="1"/>
    <col min="5" max="5" width="13.7265625" customWidth="1"/>
    <col min="6" max="6" width="13.81640625" customWidth="1"/>
    <col min="7" max="7" width="21.81640625" customWidth="1"/>
    <col min="8" max="8" width="14.453125" customWidth="1"/>
    <col min="9" max="9" width="19.1796875" customWidth="1"/>
  </cols>
  <sheetData>
    <row r="1" spans="1:7" x14ac:dyDescent="0.35">
      <c r="A1" s="307" t="s">
        <v>0</v>
      </c>
    </row>
    <row r="2" spans="1:7" x14ac:dyDescent="0.35">
      <c r="A2" s="308" t="s">
        <v>1</v>
      </c>
    </row>
    <row r="3" spans="1:7" x14ac:dyDescent="0.35">
      <c r="A3" s="308" t="s">
        <v>971</v>
      </c>
    </row>
    <row r="4" spans="1:7" x14ac:dyDescent="0.35">
      <c r="A4" s="309" t="s">
        <v>1546</v>
      </c>
    </row>
    <row r="5" spans="1:7" ht="15" thickBot="1" x14ac:dyDescent="0.4">
      <c r="A5" s="313"/>
    </row>
    <row r="6" spans="1:7" x14ac:dyDescent="0.35">
      <c r="A6" s="130" t="s">
        <v>1333</v>
      </c>
      <c r="B6" s="8"/>
      <c r="C6" s="8"/>
      <c r="D6" s="8"/>
      <c r="E6" s="8"/>
      <c r="F6" s="17"/>
      <c r="G6" s="283"/>
    </row>
    <row r="7" spans="1:7" x14ac:dyDescent="0.35">
      <c r="A7" s="276" t="s">
        <v>651</v>
      </c>
      <c r="F7" s="18"/>
      <c r="G7" s="286"/>
    </row>
    <row r="8" spans="1:7" x14ac:dyDescent="0.35">
      <c r="A8" s="11"/>
      <c r="B8" t="s">
        <v>819</v>
      </c>
      <c r="F8" s="18"/>
    </row>
    <row r="9" spans="1:7" x14ac:dyDescent="0.35">
      <c r="A9" s="11"/>
      <c r="C9" t="s">
        <v>394</v>
      </c>
      <c r="E9" s="26">
        <f>B46</f>
        <v>17939.88</v>
      </c>
      <c r="F9" s="18"/>
      <c r="G9" s="284"/>
    </row>
    <row r="10" spans="1:7" x14ac:dyDescent="0.35">
      <c r="A10" s="11"/>
      <c r="C10" s="60" t="s">
        <v>159</v>
      </c>
      <c r="E10" s="26">
        <f>C52</f>
        <v>0</v>
      </c>
      <c r="F10" s="18"/>
      <c r="G10" s="284"/>
    </row>
    <row r="11" spans="1:7" x14ac:dyDescent="0.35">
      <c r="A11" s="11"/>
      <c r="C11" s="60" t="s">
        <v>180</v>
      </c>
      <c r="E11" s="26">
        <f>C117</f>
        <v>226176.82679607318</v>
      </c>
      <c r="F11" s="18"/>
      <c r="G11" s="284"/>
    </row>
    <row r="12" spans="1:7" x14ac:dyDescent="0.35">
      <c r="A12" s="11"/>
      <c r="C12" s="60" t="s">
        <v>231</v>
      </c>
      <c r="E12" s="26">
        <f>C172</f>
        <v>29199.62844265953</v>
      </c>
      <c r="F12" s="18"/>
      <c r="G12" s="284"/>
    </row>
    <row r="13" spans="1:7" x14ac:dyDescent="0.35">
      <c r="A13" s="11"/>
      <c r="C13" s="60" t="s">
        <v>274</v>
      </c>
      <c r="E13" s="97">
        <f>C185</f>
        <v>13500</v>
      </c>
      <c r="F13" s="18"/>
      <c r="G13" s="295"/>
    </row>
    <row r="14" spans="1:7" x14ac:dyDescent="0.35">
      <c r="B14" s="5" t="s">
        <v>1334</v>
      </c>
      <c r="E14" s="342">
        <f>SUM(E9:E13)</f>
        <v>286816.33523873269</v>
      </c>
      <c r="F14" s="18"/>
    </row>
    <row r="15" spans="1:7" ht="15" thickBot="1" x14ac:dyDescent="0.4">
      <c r="A15" s="13"/>
      <c r="B15" s="409" t="s">
        <v>1193</v>
      </c>
      <c r="C15" s="14"/>
      <c r="D15" s="14"/>
      <c r="E15" s="410">
        <f>162*500</f>
        <v>81000</v>
      </c>
      <c r="F15" s="19"/>
      <c r="G15" s="284"/>
    </row>
    <row r="17" spans="1:9" x14ac:dyDescent="0.35">
      <c r="A17" s="414" t="s">
        <v>1022</v>
      </c>
      <c r="B17" s="60"/>
      <c r="C17" s="60"/>
      <c r="D17" s="60"/>
      <c r="E17" s="60"/>
      <c r="F17" s="60"/>
    </row>
    <row r="18" spans="1:9" x14ac:dyDescent="0.35">
      <c r="A18" s="433" t="s">
        <v>995</v>
      </c>
      <c r="B18" s="434" t="s">
        <v>1196</v>
      </c>
      <c r="C18" s="434" t="s">
        <v>1216</v>
      </c>
      <c r="D18" s="434" t="s">
        <v>1217</v>
      </c>
      <c r="E18" s="434" t="s">
        <v>1197</v>
      </c>
      <c r="F18" s="434" t="s">
        <v>992</v>
      </c>
    </row>
    <row r="19" spans="1:9" x14ac:dyDescent="0.35">
      <c r="A19" s="435" t="s">
        <v>1000</v>
      </c>
      <c r="B19" s="436">
        <v>8.9833381176054949</v>
      </c>
      <c r="C19" s="436"/>
      <c r="D19" s="436"/>
      <c r="E19" s="436">
        <v>161.60741432843449</v>
      </c>
      <c r="F19" s="436">
        <v>170.59075244603997</v>
      </c>
    </row>
    <row r="20" spans="1:9" x14ac:dyDescent="0.35">
      <c r="A20" s="224" t="s">
        <v>1109</v>
      </c>
      <c r="B20" s="128"/>
      <c r="C20" s="128"/>
      <c r="D20" s="128"/>
      <c r="E20" s="432">
        <f>162*500</f>
        <v>81000</v>
      </c>
      <c r="F20" s="128"/>
    </row>
    <row r="21" spans="1:9" x14ac:dyDescent="0.35">
      <c r="A21" s="224" t="s">
        <v>1110</v>
      </c>
      <c r="B21" s="128">
        <f>B19</f>
        <v>8.9833381176054949</v>
      </c>
      <c r="C21" s="128"/>
      <c r="D21" s="128"/>
      <c r="E21" s="432"/>
      <c r="F21" s="128"/>
      <c r="G21" s="314"/>
      <c r="H21" s="314"/>
    </row>
    <row r="23" spans="1:9" ht="18.5" x14ac:dyDescent="0.45">
      <c r="A23" s="412" t="s">
        <v>1501</v>
      </c>
      <c r="B23" s="189"/>
    </row>
    <row r="24" spans="1:9" x14ac:dyDescent="0.35">
      <c r="A24" s="48"/>
    </row>
    <row r="25" spans="1:9" x14ac:dyDescent="0.35">
      <c r="A25" s="48"/>
    </row>
    <row r="26" spans="1:9" x14ac:dyDescent="0.35">
      <c r="A26" s="121" t="s">
        <v>803</v>
      </c>
    </row>
    <row r="27" spans="1:9" x14ac:dyDescent="0.35">
      <c r="A27" t="s">
        <v>160</v>
      </c>
    </row>
    <row r="28" spans="1:9" x14ac:dyDescent="0.35">
      <c r="A28" s="414" t="s">
        <v>1022</v>
      </c>
      <c r="G28" s="289"/>
      <c r="H28" s="285"/>
      <c r="I28" s="289"/>
    </row>
    <row r="29" spans="1:9" x14ac:dyDescent="0.35">
      <c r="A29" s="60"/>
      <c r="B29" s="415"/>
      <c r="C29" s="404" t="s">
        <v>870</v>
      </c>
      <c r="D29" s="404" t="s">
        <v>871</v>
      </c>
      <c r="E29" s="404" t="s">
        <v>872</v>
      </c>
      <c r="G29" s="290"/>
      <c r="H29" s="290"/>
      <c r="I29" s="290"/>
    </row>
    <row r="30" spans="1:9" x14ac:dyDescent="0.35">
      <c r="A30" s="60"/>
      <c r="B30" s="404" t="s">
        <v>808</v>
      </c>
      <c r="C30" s="404">
        <v>171</v>
      </c>
      <c r="D30" s="404">
        <v>162</v>
      </c>
      <c r="E30" s="404">
        <v>9</v>
      </c>
    </row>
    <row r="31" spans="1:9" x14ac:dyDescent="0.35">
      <c r="A31" s="60" t="s">
        <v>804</v>
      </c>
      <c r="B31" s="60"/>
      <c r="C31" s="60"/>
      <c r="D31" s="60"/>
      <c r="E31" s="60"/>
    </row>
    <row r="32" spans="1:9" x14ac:dyDescent="0.35">
      <c r="A32" s="60" t="s">
        <v>805</v>
      </c>
      <c r="B32" s="60"/>
      <c r="C32" s="60"/>
      <c r="D32" s="60"/>
      <c r="E32" s="60"/>
    </row>
    <row r="33" spans="1:5" x14ac:dyDescent="0.35">
      <c r="A33" s="60" t="s">
        <v>1068</v>
      </c>
      <c r="B33" s="60"/>
      <c r="C33" s="60"/>
      <c r="D33" s="60"/>
      <c r="E33" s="60"/>
    </row>
    <row r="34" spans="1:5" x14ac:dyDescent="0.35">
      <c r="A34" s="60" t="s">
        <v>1463</v>
      </c>
      <c r="B34" s="60"/>
      <c r="C34" s="60"/>
      <c r="D34" s="60"/>
      <c r="E34" s="60"/>
    </row>
    <row r="35" spans="1:5" x14ac:dyDescent="0.35">
      <c r="A35" s="60"/>
      <c r="B35" s="60"/>
      <c r="C35" s="60"/>
      <c r="D35" s="60"/>
      <c r="E35" s="60"/>
    </row>
    <row r="36" spans="1:5" x14ac:dyDescent="0.35">
      <c r="A36" s="60" t="s">
        <v>806</v>
      </c>
      <c r="B36" s="60"/>
      <c r="C36" s="60"/>
      <c r="D36" s="60"/>
      <c r="E36" s="60"/>
    </row>
    <row r="37" spans="1:5" x14ac:dyDescent="0.35">
      <c r="A37" s="60" t="s">
        <v>807</v>
      </c>
      <c r="B37" s="60"/>
      <c r="C37" s="60"/>
      <c r="D37" s="60"/>
      <c r="E37" s="60"/>
    </row>
    <row r="38" spans="1:5" x14ac:dyDescent="0.35">
      <c r="A38" s="60" t="s">
        <v>731</v>
      </c>
      <c r="B38" s="60"/>
      <c r="C38" s="60"/>
      <c r="D38" s="60"/>
      <c r="E38" s="60"/>
    </row>
    <row r="39" spans="1:5" x14ac:dyDescent="0.35">
      <c r="A39" s="60"/>
      <c r="B39" s="60"/>
      <c r="C39" s="60"/>
      <c r="D39" s="60"/>
      <c r="E39" s="60"/>
    </row>
    <row r="40" spans="1:5" x14ac:dyDescent="0.35">
      <c r="A40" s="60" t="s">
        <v>809</v>
      </c>
      <c r="B40" s="60"/>
      <c r="C40" s="60"/>
      <c r="D40" s="60"/>
      <c r="E40" s="60"/>
    </row>
    <row r="41" spans="1:5" x14ac:dyDescent="0.35">
      <c r="A41" s="60" t="s">
        <v>810</v>
      </c>
      <c r="B41" s="213">
        <f>E30</f>
        <v>9</v>
      </c>
      <c r="C41" s="60"/>
      <c r="D41" s="60"/>
      <c r="E41" s="60"/>
    </row>
    <row r="42" spans="1:5" x14ac:dyDescent="0.35">
      <c r="A42" s="60" t="s">
        <v>398</v>
      </c>
      <c r="B42" s="60">
        <v>0.5</v>
      </c>
      <c r="C42" s="60"/>
      <c r="D42" s="60"/>
      <c r="E42" s="60"/>
    </row>
    <row r="43" spans="1:5" x14ac:dyDescent="0.35">
      <c r="A43" s="60" t="s">
        <v>736</v>
      </c>
      <c r="B43" s="416">
        <f>B41/B42</f>
        <v>18</v>
      </c>
      <c r="C43" s="60"/>
      <c r="D43" s="60"/>
      <c r="E43" s="60"/>
    </row>
    <row r="44" spans="1:5" x14ac:dyDescent="0.35">
      <c r="A44" s="60" t="s">
        <v>737</v>
      </c>
      <c r="B44" s="229">
        <f>B43*'Rates 2020'!$J$11*2</f>
        <v>17939.88</v>
      </c>
      <c r="C44" s="60"/>
      <c r="D44" s="60"/>
      <c r="E44" s="60"/>
    </row>
    <row r="45" spans="1:5" x14ac:dyDescent="0.35">
      <c r="A45" s="60"/>
      <c r="B45" s="60"/>
      <c r="C45" s="60"/>
      <c r="D45" s="60"/>
      <c r="E45" s="60"/>
    </row>
    <row r="46" spans="1:5" x14ac:dyDescent="0.35">
      <c r="A46" s="121" t="s">
        <v>811</v>
      </c>
      <c r="B46" s="124">
        <f>B44</f>
        <v>17939.88</v>
      </c>
      <c r="C46" s="60"/>
      <c r="D46" s="60"/>
      <c r="E46" s="60"/>
    </row>
    <row r="49" spans="1:4" x14ac:dyDescent="0.35">
      <c r="A49" s="121" t="s">
        <v>159</v>
      </c>
      <c r="B49" s="44"/>
      <c r="C49" s="44"/>
    </row>
    <row r="50" spans="1:4" s="282" customFormat="1" x14ac:dyDescent="0.35">
      <c r="A50" s="60" t="s">
        <v>1335</v>
      </c>
    </row>
    <row r="51" spans="1:4" s="282" customFormat="1" ht="15.5" x14ac:dyDescent="0.35">
      <c r="A51" s="338"/>
      <c r="B51" s="339"/>
      <c r="C51" s="340"/>
    </row>
    <row r="52" spans="1:4" s="282" customFormat="1" x14ac:dyDescent="0.35">
      <c r="A52" s="121" t="s">
        <v>171</v>
      </c>
      <c r="B52" s="121"/>
      <c r="C52" s="185">
        <v>0</v>
      </c>
    </row>
    <row r="55" spans="1:4" x14ac:dyDescent="0.35">
      <c r="A55" s="121" t="s">
        <v>180</v>
      </c>
      <c r="B55" s="44"/>
    </row>
    <row r="56" spans="1:4" ht="15.5" x14ac:dyDescent="0.35">
      <c r="A56" t="s">
        <v>160</v>
      </c>
      <c r="B56" s="261"/>
      <c r="C56" s="262"/>
    </row>
    <row r="57" spans="1:4" ht="15.5" x14ac:dyDescent="0.35">
      <c r="A57" t="s">
        <v>181</v>
      </c>
      <c r="B57" s="261"/>
      <c r="C57" s="262"/>
    </row>
    <row r="58" spans="1:4" ht="15.5" x14ac:dyDescent="0.35">
      <c r="A58" t="s">
        <v>815</v>
      </c>
      <c r="B58" s="261"/>
      <c r="C58" s="262"/>
    </row>
    <row r="59" spans="1:4" ht="15.5" x14ac:dyDescent="0.35">
      <c r="A59" s="260"/>
      <c r="B59" s="261"/>
      <c r="C59" s="262"/>
    </row>
    <row r="60" spans="1:4" x14ac:dyDescent="0.35">
      <c r="A60" t="s">
        <v>814</v>
      </c>
    </row>
    <row r="61" spans="1:4" ht="29" x14ac:dyDescent="0.35">
      <c r="A61" s="149" t="s">
        <v>744</v>
      </c>
      <c r="B61" s="149" t="s">
        <v>745</v>
      </c>
      <c r="C61" s="149" t="s">
        <v>746</v>
      </c>
      <c r="D61" s="159" t="s">
        <v>747</v>
      </c>
    </row>
    <row r="62" spans="1:4" x14ac:dyDescent="0.35">
      <c r="A62" s="2" t="s">
        <v>812</v>
      </c>
      <c r="B62" s="69">
        <v>0</v>
      </c>
      <c r="C62" s="51">
        <v>20</v>
      </c>
      <c r="D62" s="22">
        <f>(B62*43560*(C62/12))/27</f>
        <v>0</v>
      </c>
    </row>
    <row r="63" spans="1:4" x14ac:dyDescent="0.35">
      <c r="A63" s="2" t="s">
        <v>813</v>
      </c>
      <c r="B63" s="251">
        <f>E30</f>
        <v>9</v>
      </c>
      <c r="C63" s="411">
        <v>28</v>
      </c>
      <c r="D63" s="263">
        <f>(B63*43560*(C63/12))/27</f>
        <v>33880</v>
      </c>
    </row>
    <row r="64" spans="1:4" x14ac:dyDescent="0.35">
      <c r="A64" s="2" t="s">
        <v>83</v>
      </c>
      <c r="B64" s="69">
        <f>B62+B63</f>
        <v>9</v>
      </c>
      <c r="C64" s="51"/>
      <c r="D64" s="212">
        <f>D62+D63</f>
        <v>33880</v>
      </c>
    </row>
    <row r="66" spans="1:4" ht="15.5" x14ac:dyDescent="0.35">
      <c r="A66" t="s">
        <v>1184</v>
      </c>
      <c r="B66" s="261"/>
      <c r="C66" s="24">
        <f>D64</f>
        <v>33880</v>
      </c>
    </row>
    <row r="67" spans="1:4" x14ac:dyDescent="0.35">
      <c r="A67" t="s">
        <v>172</v>
      </c>
      <c r="B67" s="2"/>
      <c r="C67" s="22">
        <f>C66*1.15</f>
        <v>38962</v>
      </c>
    </row>
    <row r="68" spans="1:4" x14ac:dyDescent="0.35">
      <c r="A68" t="s">
        <v>173</v>
      </c>
      <c r="C68" s="23">
        <v>3300</v>
      </c>
    </row>
    <row r="69" spans="1:4" x14ac:dyDescent="0.35">
      <c r="A69" t="s">
        <v>749</v>
      </c>
      <c r="C69" s="23">
        <f>(C67*C68)/2000</f>
        <v>64287.3</v>
      </c>
    </row>
    <row r="70" spans="1:4" x14ac:dyDescent="0.35">
      <c r="A70" t="s">
        <v>792</v>
      </c>
      <c r="C70" s="23">
        <v>9500</v>
      </c>
    </row>
    <row r="72" spans="1:4" x14ac:dyDescent="0.35">
      <c r="A72" s="60" t="s">
        <v>816</v>
      </c>
    </row>
    <row r="73" spans="1:4" x14ac:dyDescent="0.35">
      <c r="A73" s="60" t="s">
        <v>212</v>
      </c>
      <c r="D73" s="70">
        <v>12</v>
      </c>
    </row>
    <row r="74" spans="1:4" x14ac:dyDescent="0.35">
      <c r="A74" s="60" t="s">
        <v>213</v>
      </c>
      <c r="D74" s="70">
        <v>20</v>
      </c>
    </row>
    <row r="75" spans="1:4" ht="15.5" x14ac:dyDescent="0.35">
      <c r="A75" s="52"/>
    </row>
    <row r="76" spans="1:4" x14ac:dyDescent="0.35">
      <c r="A76" s="79" t="s">
        <v>183</v>
      </c>
    </row>
    <row r="77" spans="1:4" x14ac:dyDescent="0.35">
      <c r="A77" t="s">
        <v>184</v>
      </c>
      <c r="B77">
        <v>2.4500000000000002</v>
      </c>
    </row>
    <row r="78" spans="1:4" x14ac:dyDescent="0.35">
      <c r="A78" t="s">
        <v>185</v>
      </c>
      <c r="B78" s="21">
        <f>C70/((D73*5280)/60)</f>
        <v>8.9962121212121211</v>
      </c>
    </row>
    <row r="79" spans="1:4" x14ac:dyDescent="0.35">
      <c r="A79" t="s">
        <v>186</v>
      </c>
      <c r="B79">
        <v>1.6</v>
      </c>
    </row>
    <row r="80" spans="1:4" x14ac:dyDescent="0.35">
      <c r="A80" t="s">
        <v>187</v>
      </c>
      <c r="B80" s="54">
        <f>C70/((D74*5280)/60)</f>
        <v>5.3977272727272725</v>
      </c>
    </row>
    <row r="81" spans="1:4" x14ac:dyDescent="0.35">
      <c r="A81" t="s">
        <v>188</v>
      </c>
      <c r="B81" s="55">
        <f>SUM(B77:B80)</f>
        <v>18.443939393939392</v>
      </c>
    </row>
    <row r="82" spans="1:4" x14ac:dyDescent="0.35">
      <c r="A82" t="s">
        <v>189</v>
      </c>
      <c r="B82">
        <v>0</v>
      </c>
    </row>
    <row r="83" spans="1:4" x14ac:dyDescent="0.35">
      <c r="A83" t="s">
        <v>190</v>
      </c>
      <c r="B83" s="20">
        <v>0</v>
      </c>
      <c r="C83" s="58" t="s">
        <v>191</v>
      </c>
      <c r="D83" s="73" t="s">
        <v>230</v>
      </c>
    </row>
    <row r="84" spans="1:4" x14ac:dyDescent="0.35">
      <c r="A84" t="s">
        <v>192</v>
      </c>
      <c r="B84" s="55">
        <f>SUM(B81:B83)</f>
        <v>18.443939393939392</v>
      </c>
      <c r="C84" s="75">
        <f>B78+B79+B80</f>
        <v>15.993939393939392</v>
      </c>
      <c r="D84" s="72">
        <f>C84/B77</f>
        <v>6.5281385281385269</v>
      </c>
    </row>
    <row r="85" spans="1:4" x14ac:dyDescent="0.35">
      <c r="A85" t="s">
        <v>193</v>
      </c>
      <c r="B85" s="55">
        <f>60/B84</f>
        <v>3.2531011254415514</v>
      </c>
    </row>
    <row r="86" spans="1:4" x14ac:dyDescent="0.35">
      <c r="B86" s="55"/>
    </row>
    <row r="87" spans="1:4" x14ac:dyDescent="0.35">
      <c r="A87" t="s">
        <v>221</v>
      </c>
      <c r="B87" s="25">
        <v>77</v>
      </c>
    </row>
    <row r="88" spans="1:4" x14ac:dyDescent="0.35">
      <c r="A88" t="s">
        <v>224</v>
      </c>
      <c r="B88" s="118">
        <f>B85*B87</f>
        <v>250.48878665899946</v>
      </c>
    </row>
    <row r="90" spans="1:4" x14ac:dyDescent="0.35">
      <c r="A90" s="56" t="s">
        <v>222</v>
      </c>
      <c r="B90">
        <v>5</v>
      </c>
      <c r="C90" s="21">
        <f>B87/15</f>
        <v>5.1333333333333337</v>
      </c>
    </row>
    <row r="91" spans="1:4" x14ac:dyDescent="0.35">
      <c r="A91" t="s">
        <v>194</v>
      </c>
      <c r="B91">
        <v>0.7</v>
      </c>
    </row>
    <row r="92" spans="1:4" x14ac:dyDescent="0.35">
      <c r="A92" t="s">
        <v>195</v>
      </c>
      <c r="B92">
        <f>B90*B91</f>
        <v>3.5</v>
      </c>
    </row>
    <row r="93" spans="1:4" x14ac:dyDescent="0.35">
      <c r="A93" t="s">
        <v>196</v>
      </c>
      <c r="B93" s="50">
        <f>B84/B92</f>
        <v>5.2696969696969687</v>
      </c>
      <c r="C93" s="74" t="s">
        <v>223</v>
      </c>
      <c r="D93" s="56"/>
    </row>
    <row r="95" spans="1:4" x14ac:dyDescent="0.35">
      <c r="A95" t="s">
        <v>197</v>
      </c>
      <c r="B95" s="57">
        <f>(B93*B87)/B84</f>
        <v>22</v>
      </c>
    </row>
    <row r="96" spans="1:4" x14ac:dyDescent="0.35">
      <c r="A96" t="s">
        <v>198</v>
      </c>
      <c r="B96" s="50">
        <f>B95*60</f>
        <v>1320</v>
      </c>
    </row>
    <row r="97" spans="1:8" x14ac:dyDescent="0.35">
      <c r="A97" t="s">
        <v>199</v>
      </c>
      <c r="B97" s="55">
        <v>0.83</v>
      </c>
    </row>
    <row r="98" spans="1:8" x14ac:dyDescent="0.35">
      <c r="A98" t="s">
        <v>200</v>
      </c>
      <c r="B98">
        <v>0.9</v>
      </c>
    </row>
    <row r="99" spans="1:8" x14ac:dyDescent="0.35">
      <c r="A99" t="s">
        <v>201</v>
      </c>
      <c r="B99" s="50">
        <f>B96*B97*B98</f>
        <v>986.04</v>
      </c>
    </row>
    <row r="100" spans="1:8" x14ac:dyDescent="0.35">
      <c r="A100" t="s">
        <v>202</v>
      </c>
      <c r="B100" s="50">
        <f>C67/B99</f>
        <v>39.513609995537706</v>
      </c>
    </row>
    <row r="101" spans="1:8" ht="15.5" x14ac:dyDescent="0.35">
      <c r="A101" s="260"/>
      <c r="B101" s="261"/>
      <c r="C101" s="262"/>
    </row>
    <row r="102" spans="1:8" x14ac:dyDescent="0.35">
      <c r="B102" s="352" t="s">
        <v>203</v>
      </c>
      <c r="C102" s="352" t="s">
        <v>92</v>
      </c>
      <c r="D102" s="369" t="s">
        <v>214</v>
      </c>
      <c r="E102" s="370" t="s">
        <v>204</v>
      </c>
      <c r="F102" s="355" t="s">
        <v>170</v>
      </c>
      <c r="G102" s="352" t="s">
        <v>205</v>
      </c>
      <c r="H102" s="352" t="s">
        <v>206</v>
      </c>
    </row>
    <row r="103" spans="1:8" x14ac:dyDescent="0.35">
      <c r="A103" t="s">
        <v>207</v>
      </c>
      <c r="B103" s="369">
        <v>1</v>
      </c>
      <c r="C103" s="352" t="s">
        <v>216</v>
      </c>
      <c r="D103" s="369">
        <f>'Rates 2020'!$J$27</f>
        <v>629.72</v>
      </c>
      <c r="E103" s="369">
        <f>$B$100*B103</f>
        <v>39.513609995537706</v>
      </c>
      <c r="F103" s="376">
        <f>D103*E103</f>
        <v>24882.510486390005</v>
      </c>
      <c r="G103" s="371">
        <f>F103/$C$69</f>
        <v>0.38705172695680179</v>
      </c>
      <c r="H103" s="355">
        <f>F103/$C$67</f>
        <v>0.63863534947872302</v>
      </c>
    </row>
    <row r="104" spans="1:8" x14ac:dyDescent="0.35">
      <c r="A104" t="s">
        <v>208</v>
      </c>
      <c r="B104" s="369">
        <f>B93</f>
        <v>5.2696969696969687</v>
      </c>
      <c r="C104" s="369" t="s">
        <v>217</v>
      </c>
      <c r="D104" s="369">
        <f>'Rates 2020'!$J$66</f>
        <v>468.39</v>
      </c>
      <c r="E104" s="369">
        <f>$B$100*B104</f>
        <v>208.2247508552729</v>
      </c>
      <c r="F104" s="376">
        <f>D104*E104</f>
        <v>97530.391053101266</v>
      </c>
      <c r="G104" s="371">
        <f>F104/$C$69</f>
        <v>1.5171019945323767</v>
      </c>
      <c r="H104" s="355">
        <f>F104/$C$67</f>
        <v>2.5032182909784217</v>
      </c>
    </row>
    <row r="105" spans="1:8" x14ac:dyDescent="0.35">
      <c r="A105" t="s">
        <v>209</v>
      </c>
      <c r="B105" s="372">
        <v>1</v>
      </c>
      <c r="C105" s="369" t="s">
        <v>218</v>
      </c>
      <c r="D105" s="373">
        <f>'Rates 2020'!$J$51</f>
        <v>194.65</v>
      </c>
      <c r="E105" s="369">
        <f>$B$100*B105</f>
        <v>39.513609995537706</v>
      </c>
      <c r="F105" s="376">
        <f>D105*E105</f>
        <v>7691.3241856314144</v>
      </c>
      <c r="G105" s="371">
        <f>F105/$C$69</f>
        <v>0.11963986954859536</v>
      </c>
      <c r="H105" s="355">
        <f>F105/$C$67</f>
        <v>0.19740578475518233</v>
      </c>
    </row>
    <row r="106" spans="1:8" x14ac:dyDescent="0.35">
      <c r="A106" t="s">
        <v>210</v>
      </c>
      <c r="B106" s="372">
        <v>1</v>
      </c>
      <c r="C106" s="369" t="s">
        <v>98</v>
      </c>
      <c r="D106" s="373">
        <f>'Rates 2020'!$J$13</f>
        <v>332.61</v>
      </c>
      <c r="E106" s="369">
        <f>$B$100*B106</f>
        <v>39.513609995537706</v>
      </c>
      <c r="F106" s="376">
        <f>D106*E106</f>
        <v>13142.621820615797</v>
      </c>
      <c r="G106" s="371">
        <f>F106/$C$69</f>
        <v>0.20443574112796456</v>
      </c>
      <c r="H106" s="355">
        <f>F106/$C$67</f>
        <v>0.33731897286114154</v>
      </c>
    </row>
    <row r="107" spans="1:8" x14ac:dyDescent="0.35">
      <c r="A107" t="s">
        <v>210</v>
      </c>
      <c r="B107" s="369">
        <v>1</v>
      </c>
      <c r="C107" s="370" t="s">
        <v>219</v>
      </c>
      <c r="D107" s="373">
        <f>'Rates 2020'!$J$56</f>
        <v>105.45</v>
      </c>
      <c r="E107" s="369">
        <f>$B$100*B107</f>
        <v>39.513609995537706</v>
      </c>
      <c r="F107" s="376">
        <f>D107*E107</f>
        <v>4166.7101740294511</v>
      </c>
      <c r="G107" s="371">
        <f>F107/$C$69</f>
        <v>6.4813892853323299E-2</v>
      </c>
      <c r="H107" s="355">
        <f>F107/$C$67</f>
        <v>0.10694292320798345</v>
      </c>
    </row>
    <row r="108" spans="1:8" x14ac:dyDescent="0.35">
      <c r="A108" t="s">
        <v>220</v>
      </c>
      <c r="B108" s="63">
        <f>SUM(B103:B107)</f>
        <v>9.2696969696969695</v>
      </c>
      <c r="C108" s="63"/>
      <c r="D108" s="2"/>
      <c r="E108" s="63">
        <f>SUM(E103:E107)</f>
        <v>366.2791908374237</v>
      </c>
      <c r="F108" s="77">
        <f>SUM(F103:F107)</f>
        <v>147413.55771976794</v>
      </c>
      <c r="G108" s="71">
        <f>SUM(G103:G107)</f>
        <v>2.2930432250190615</v>
      </c>
      <c r="H108" s="65">
        <f>SUM(H103:H107)</f>
        <v>3.7835213212814525</v>
      </c>
    </row>
    <row r="109" spans="1:8" ht="15.5" x14ac:dyDescent="0.35">
      <c r="A109" s="260"/>
      <c r="B109" s="261"/>
      <c r="C109" s="262"/>
    </row>
    <row r="110" spans="1:8" x14ac:dyDescent="0.35">
      <c r="A110" s="79" t="s">
        <v>225</v>
      </c>
    </row>
    <row r="111" spans="1:8" x14ac:dyDescent="0.35">
      <c r="A111" t="s">
        <v>226</v>
      </c>
      <c r="C111" s="76">
        <f>B100</f>
        <v>39.513609995537706</v>
      </c>
    </row>
    <row r="112" spans="1:8" x14ac:dyDescent="0.35">
      <c r="A112" t="s">
        <v>167</v>
      </c>
      <c r="C112" s="76">
        <f>C111*2</f>
        <v>79.027219991075413</v>
      </c>
    </row>
    <row r="113" spans="1:7" x14ac:dyDescent="0.35">
      <c r="A113" t="s">
        <v>227</v>
      </c>
      <c r="B113" s="25" t="s">
        <v>228</v>
      </c>
      <c r="C113" s="77">
        <f>C112*'Rates 2020'!$J$11</f>
        <v>39381.634538152612</v>
      </c>
    </row>
    <row r="114" spans="1:7" x14ac:dyDescent="0.35">
      <c r="B114" s="25" t="s">
        <v>228</v>
      </c>
      <c r="C114" s="78">
        <f>C112*'Rates 2020'!$J$11</f>
        <v>39381.634538152612</v>
      </c>
    </row>
    <row r="115" spans="1:7" x14ac:dyDescent="0.35">
      <c r="B115" s="25" t="s">
        <v>83</v>
      </c>
      <c r="C115" s="77">
        <f>SUM(C113:C114)</f>
        <v>78763.269076305223</v>
      </c>
    </row>
    <row r="117" spans="1:7" x14ac:dyDescent="0.35">
      <c r="A117" s="121" t="s">
        <v>229</v>
      </c>
      <c r="B117" s="121"/>
      <c r="C117" s="185">
        <f>C115+F108</f>
        <v>226176.82679607318</v>
      </c>
    </row>
    <row r="120" spans="1:7" x14ac:dyDescent="0.35">
      <c r="A120" s="121" t="s">
        <v>231</v>
      </c>
      <c r="B120" s="121"/>
      <c r="D120" s="275"/>
    </row>
    <row r="121" spans="1:7" x14ac:dyDescent="0.35">
      <c r="A121" t="s">
        <v>160</v>
      </c>
    </row>
    <row r="122" spans="1:7" x14ac:dyDescent="0.35">
      <c r="A122" t="s">
        <v>232</v>
      </c>
    </row>
    <row r="123" spans="1:7" x14ac:dyDescent="0.35">
      <c r="A123" t="s">
        <v>233</v>
      </c>
    </row>
    <row r="124" spans="1:7" x14ac:dyDescent="0.35">
      <c r="A124" t="s">
        <v>793</v>
      </c>
    </row>
    <row r="125" spans="1:7" x14ac:dyDescent="0.35">
      <c r="A125" t="s">
        <v>844</v>
      </c>
      <c r="C125" s="60"/>
    </row>
    <row r="126" spans="1:7" x14ac:dyDescent="0.35">
      <c r="A126" t="s">
        <v>795</v>
      </c>
      <c r="C126" s="60"/>
    </row>
    <row r="127" spans="1:7" x14ac:dyDescent="0.35">
      <c r="A127" t="s">
        <v>234</v>
      </c>
    </row>
    <row r="128" spans="1:7" x14ac:dyDescent="0.35">
      <c r="B128" s="88" t="s">
        <v>235</v>
      </c>
      <c r="C128" s="89" t="s">
        <v>236</v>
      </c>
      <c r="D128" s="89" t="s">
        <v>237</v>
      </c>
      <c r="E128" s="90" t="s">
        <v>238</v>
      </c>
      <c r="F128" s="90" t="s">
        <v>239</v>
      </c>
      <c r="G128" s="91" t="s">
        <v>240</v>
      </c>
    </row>
    <row r="129" spans="1:7" x14ac:dyDescent="0.35">
      <c r="B129" s="86" t="s">
        <v>241</v>
      </c>
      <c r="C129" s="24">
        <f>$C$67</f>
        <v>38962</v>
      </c>
      <c r="D129" s="80">
        <v>2500</v>
      </c>
      <c r="E129" s="2">
        <v>0</v>
      </c>
      <c r="F129" s="2" t="s">
        <v>242</v>
      </c>
      <c r="G129" s="81">
        <f>+(C129/D129)*E129</f>
        <v>0</v>
      </c>
    </row>
    <row r="130" spans="1:7" x14ac:dyDescent="0.35">
      <c r="B130" s="86" t="s">
        <v>243</v>
      </c>
      <c r="C130" s="24">
        <f>$C$67</f>
        <v>38962</v>
      </c>
      <c r="D130" s="80">
        <v>30000</v>
      </c>
      <c r="E130" s="2">
        <f>200+25</f>
        <v>225</v>
      </c>
      <c r="F130" s="2">
        <v>10</v>
      </c>
      <c r="G130" s="81">
        <f>(C130/D130)*(E130+F130)</f>
        <v>305.20233333333334</v>
      </c>
    </row>
    <row r="131" spans="1:7" x14ac:dyDescent="0.35">
      <c r="B131" s="86" t="s">
        <v>244</v>
      </c>
      <c r="C131" s="24">
        <f>$C$67</f>
        <v>38962</v>
      </c>
      <c r="D131" s="80">
        <v>10000</v>
      </c>
      <c r="E131" s="2">
        <v>45</v>
      </c>
      <c r="F131" s="2">
        <v>10</v>
      </c>
      <c r="G131" s="81">
        <f>(C131/D131)*(E131+F131)</f>
        <v>214.291</v>
      </c>
    </row>
    <row r="132" spans="1:7" ht="16" x14ac:dyDescent="0.5">
      <c r="B132" s="86" t="s">
        <v>245</v>
      </c>
      <c r="C132" s="24">
        <f>$C$67</f>
        <v>38962</v>
      </c>
      <c r="D132" s="80">
        <v>2500</v>
      </c>
      <c r="E132" s="2">
        <v>15</v>
      </c>
      <c r="F132" s="2">
        <v>10</v>
      </c>
      <c r="G132" s="92">
        <f>(C132/D132)*(E132+F132)</f>
        <v>389.62</v>
      </c>
    </row>
    <row r="133" spans="1:7" x14ac:dyDescent="0.35">
      <c r="B133" s="87"/>
      <c r="C133" s="20"/>
      <c r="D133" s="20"/>
      <c r="E133" s="20"/>
      <c r="F133" s="20" t="s">
        <v>83</v>
      </c>
      <c r="G133" s="82">
        <f>SUM(G129:G132)</f>
        <v>909.11333333333334</v>
      </c>
    </row>
    <row r="135" spans="1:7" x14ac:dyDescent="0.35">
      <c r="A135" t="s">
        <v>246</v>
      </c>
    </row>
    <row r="136" spans="1:7" x14ac:dyDescent="0.35">
      <c r="A136" t="s">
        <v>247</v>
      </c>
    </row>
    <row r="137" spans="1:7" x14ac:dyDescent="0.35">
      <c r="A137" s="93" t="s">
        <v>681</v>
      </c>
    </row>
    <row r="138" spans="1:7" x14ac:dyDescent="0.35">
      <c r="A138" s="93" t="s">
        <v>248</v>
      </c>
    </row>
    <row r="140" spans="1:7" x14ac:dyDescent="0.35">
      <c r="A140" t="s">
        <v>249</v>
      </c>
    </row>
    <row r="141" spans="1:7" x14ac:dyDescent="0.35">
      <c r="A141" t="s">
        <v>250</v>
      </c>
      <c r="B141" s="50">
        <f>E30</f>
        <v>9</v>
      </c>
    </row>
    <row r="142" spans="1:7" x14ac:dyDescent="0.35">
      <c r="A142" t="s">
        <v>251</v>
      </c>
      <c r="B142">
        <v>1000</v>
      </c>
    </row>
    <row r="143" spans="1:7" x14ac:dyDescent="0.35">
      <c r="A143" t="s">
        <v>252</v>
      </c>
      <c r="B143" s="135">
        <v>25</v>
      </c>
    </row>
    <row r="144" spans="1:7" x14ac:dyDescent="0.35">
      <c r="A144" t="s">
        <v>253</v>
      </c>
      <c r="B144" s="84">
        <f>((B141*23*2000)/B142)*B143</f>
        <v>10350</v>
      </c>
    </row>
    <row r="146" spans="1:2" x14ac:dyDescent="0.35">
      <c r="A146" t="s">
        <v>1183</v>
      </c>
    </row>
    <row r="147" spans="1:2" x14ac:dyDescent="0.35">
      <c r="A147" t="s">
        <v>272</v>
      </c>
    </row>
    <row r="148" spans="1:2" x14ac:dyDescent="0.35">
      <c r="A148" t="s">
        <v>254</v>
      </c>
    </row>
    <row r="149" spans="1:2" x14ac:dyDescent="0.35">
      <c r="A149" t="s">
        <v>255</v>
      </c>
    </row>
    <row r="150" spans="1:2" x14ac:dyDescent="0.35">
      <c r="A150" t="s">
        <v>256</v>
      </c>
    </row>
    <row r="152" spans="1:2" x14ac:dyDescent="0.35">
      <c r="A152" t="s">
        <v>257</v>
      </c>
    </row>
    <row r="153" spans="1:2" x14ac:dyDescent="0.35">
      <c r="A153" t="s">
        <v>258</v>
      </c>
      <c r="B153">
        <v>150</v>
      </c>
    </row>
    <row r="154" spans="1:2" x14ac:dyDescent="0.35">
      <c r="A154" t="s">
        <v>259</v>
      </c>
      <c r="B154" s="23">
        <f>B100</f>
        <v>39.513609995537706</v>
      </c>
    </row>
    <row r="155" spans="1:2" x14ac:dyDescent="0.35">
      <c r="A155" t="s">
        <v>260</v>
      </c>
      <c r="B155" s="59">
        <f>B153*B154</f>
        <v>5927.0414993306558</v>
      </c>
    </row>
    <row r="156" spans="1:2" ht="15.5" x14ac:dyDescent="0.35">
      <c r="A156" s="260"/>
      <c r="B156" s="262"/>
    </row>
    <row r="157" spans="1:2" x14ac:dyDescent="0.35">
      <c r="A157" t="s">
        <v>261</v>
      </c>
    </row>
    <row r="158" spans="1:2" x14ac:dyDescent="0.35">
      <c r="A158" t="s">
        <v>262</v>
      </c>
      <c r="B158">
        <v>200</v>
      </c>
    </row>
    <row r="159" spans="1:2" x14ac:dyDescent="0.35">
      <c r="A159" t="s">
        <v>263</v>
      </c>
      <c r="B159" s="120">
        <f>B100/200</f>
        <v>0.19756804997768854</v>
      </c>
    </row>
    <row r="160" spans="1:2" x14ac:dyDescent="0.35">
      <c r="A160" t="s">
        <v>264</v>
      </c>
      <c r="B160" s="100">
        <f>B158*B159</f>
        <v>39.513609995537706</v>
      </c>
    </row>
    <row r="161" spans="1:4" ht="15.5" x14ac:dyDescent="0.35">
      <c r="A161" s="260"/>
      <c r="B161" s="261"/>
      <c r="C161" s="262"/>
    </row>
    <row r="162" spans="1:4" ht="15.5" x14ac:dyDescent="0.35">
      <c r="A162" t="s">
        <v>753</v>
      </c>
      <c r="B162" s="261"/>
      <c r="C162" s="262"/>
    </row>
    <row r="163" spans="1:4" ht="15.5" x14ac:dyDescent="0.35">
      <c r="A163" t="s">
        <v>307</v>
      </c>
      <c r="B163" s="261"/>
      <c r="C163" s="262"/>
    </row>
    <row r="164" spans="1:4" ht="15.5" x14ac:dyDescent="0.35">
      <c r="A164" t="s">
        <v>265</v>
      </c>
      <c r="B164" s="261"/>
      <c r="C164" s="262"/>
    </row>
    <row r="165" spans="1:4" ht="15.5" x14ac:dyDescent="0.35">
      <c r="A165" s="260"/>
      <c r="B165" s="261"/>
      <c r="C165" s="262"/>
    </row>
    <row r="166" spans="1:4" x14ac:dyDescent="0.35">
      <c r="A166" t="s">
        <v>266</v>
      </c>
    </row>
    <row r="167" spans="1:4" x14ac:dyDescent="0.35">
      <c r="A167" t="s">
        <v>817</v>
      </c>
      <c r="B167" s="50">
        <f>E30</f>
        <v>9</v>
      </c>
    </row>
    <row r="168" spans="1:4" x14ac:dyDescent="0.35">
      <c r="A168" t="s">
        <v>267</v>
      </c>
      <c r="B168">
        <v>0.5</v>
      </c>
    </row>
    <row r="169" spans="1:4" x14ac:dyDescent="0.35">
      <c r="A169" t="s">
        <v>268</v>
      </c>
      <c r="B169" s="259">
        <f>B167/B168</f>
        <v>18</v>
      </c>
    </row>
    <row r="170" spans="1:4" x14ac:dyDescent="0.35">
      <c r="A170" t="s">
        <v>269</v>
      </c>
      <c r="B170" s="59">
        <f>B169*'Rates 2020'!$J$13*2</f>
        <v>11973.960000000001</v>
      </c>
    </row>
    <row r="171" spans="1:4" x14ac:dyDescent="0.35">
      <c r="D171" s="26"/>
    </row>
    <row r="172" spans="1:4" x14ac:dyDescent="0.35">
      <c r="A172" s="121" t="s">
        <v>270</v>
      </c>
      <c r="B172" s="121"/>
      <c r="C172" s="124">
        <f>B170+B160+B155+B144+G133</f>
        <v>29199.62844265953</v>
      </c>
    </row>
    <row r="175" spans="1:4" x14ac:dyDescent="0.35">
      <c r="A175" s="121" t="s">
        <v>274</v>
      </c>
      <c r="B175" s="121"/>
    </row>
    <row r="176" spans="1:4" x14ac:dyDescent="0.35">
      <c r="A176" t="s">
        <v>160</v>
      </c>
    </row>
    <row r="177" spans="1:3" x14ac:dyDescent="0.35">
      <c r="A177" s="60" t="s">
        <v>886</v>
      </c>
    </row>
    <row r="178" spans="1:3" x14ac:dyDescent="0.35">
      <c r="A178" t="s">
        <v>1409</v>
      </c>
    </row>
    <row r="179" spans="1:3" x14ac:dyDescent="0.35">
      <c r="A179" t="s">
        <v>278</v>
      </c>
    </row>
    <row r="181" spans="1:3" x14ac:dyDescent="0.35">
      <c r="A181" t="s">
        <v>817</v>
      </c>
      <c r="B181" s="50">
        <f>E30</f>
        <v>9</v>
      </c>
    </row>
    <row r="182" spans="1:3" x14ac:dyDescent="0.35">
      <c r="A182" t="s">
        <v>275</v>
      </c>
      <c r="B182" s="22">
        <v>1500</v>
      </c>
    </row>
    <row r="183" spans="1:3" x14ac:dyDescent="0.35">
      <c r="A183" t="s">
        <v>170</v>
      </c>
      <c r="B183" s="94">
        <f>B181*B182</f>
        <v>13500</v>
      </c>
    </row>
    <row r="185" spans="1:3" x14ac:dyDescent="0.35">
      <c r="A185" s="121" t="s">
        <v>276</v>
      </c>
      <c r="B185" s="121"/>
      <c r="C185" s="124">
        <f>B183</f>
        <v>13500</v>
      </c>
    </row>
    <row r="188" spans="1:3" ht="18.5" x14ac:dyDescent="0.45">
      <c r="A188" s="412" t="s">
        <v>818</v>
      </c>
      <c r="B188" s="189"/>
      <c r="C188" s="413">
        <f>C185+C172+C117+B46</f>
        <v>286816.33523873269</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499984740745262"/>
  </sheetPr>
  <dimension ref="A1:L180"/>
  <sheetViews>
    <sheetView zoomScale="85" zoomScaleNormal="85" workbookViewId="0">
      <selection activeCell="A4" sqref="A4"/>
    </sheetView>
  </sheetViews>
  <sheetFormatPr defaultRowHeight="14.5" x14ac:dyDescent="0.35"/>
  <cols>
    <col min="1" max="1" width="44.26953125" customWidth="1"/>
    <col min="2" max="2" width="21.1796875" customWidth="1"/>
    <col min="3" max="3" width="23.7265625" customWidth="1"/>
    <col min="4" max="4" width="19.453125" customWidth="1"/>
    <col min="5" max="5" width="19.54296875" customWidth="1"/>
    <col min="6" max="6" width="20.1796875" customWidth="1"/>
    <col min="7" max="7" width="12.7265625" customWidth="1"/>
    <col min="9" max="9" width="11.26953125" bestFit="1" customWidth="1"/>
  </cols>
  <sheetData>
    <row r="1" spans="1:12" x14ac:dyDescent="0.35">
      <c r="A1" s="307" t="s">
        <v>0</v>
      </c>
    </row>
    <row r="2" spans="1:12" x14ac:dyDescent="0.35">
      <c r="A2" s="308" t="s">
        <v>1</v>
      </c>
    </row>
    <row r="3" spans="1:12" x14ac:dyDescent="0.35">
      <c r="A3" s="308" t="s">
        <v>971</v>
      </c>
    </row>
    <row r="4" spans="1:12" x14ac:dyDescent="0.35">
      <c r="A4" s="309" t="s">
        <v>1546</v>
      </c>
      <c r="B4" s="2"/>
      <c r="C4" s="2"/>
      <c r="D4" s="2"/>
      <c r="E4" s="2"/>
      <c r="F4" s="2"/>
      <c r="G4" s="2"/>
    </row>
    <row r="5" spans="1:12" ht="15" thickBot="1" x14ac:dyDescent="0.4"/>
    <row r="6" spans="1:12" x14ac:dyDescent="0.35">
      <c r="A6" s="341" t="s">
        <v>1344</v>
      </c>
      <c r="B6" s="8"/>
      <c r="C6" s="8"/>
      <c r="D6" s="8"/>
      <c r="E6" s="17"/>
    </row>
    <row r="7" spans="1:12" x14ac:dyDescent="0.35">
      <c r="A7" s="276" t="s">
        <v>651</v>
      </c>
      <c r="E7" s="18"/>
    </row>
    <row r="8" spans="1:12" x14ac:dyDescent="0.35">
      <c r="A8" s="11"/>
      <c r="B8" t="s">
        <v>883</v>
      </c>
      <c r="E8" s="18"/>
    </row>
    <row r="9" spans="1:12" x14ac:dyDescent="0.35">
      <c r="A9" s="11"/>
      <c r="C9" t="s">
        <v>820</v>
      </c>
      <c r="E9" s="288">
        <f>B47</f>
        <v>340575.605969953</v>
      </c>
    </row>
    <row r="10" spans="1:12" x14ac:dyDescent="0.35">
      <c r="A10" s="11"/>
      <c r="C10" s="60" t="s">
        <v>180</v>
      </c>
      <c r="E10" s="288">
        <f>B109</f>
        <v>4069016.9715082552</v>
      </c>
    </row>
    <row r="11" spans="1:12" x14ac:dyDescent="0.35">
      <c r="A11" s="11"/>
      <c r="C11" s="60" t="s">
        <v>231</v>
      </c>
      <c r="E11" s="288">
        <f>C164</f>
        <v>554441.88442118175</v>
      </c>
    </row>
    <row r="12" spans="1:12" x14ac:dyDescent="0.35">
      <c r="A12" s="11"/>
      <c r="C12" s="60" t="s">
        <v>274</v>
      </c>
      <c r="E12" s="293">
        <f>C177</f>
        <v>256287.70541354601</v>
      </c>
    </row>
    <row r="13" spans="1:12" x14ac:dyDescent="0.35">
      <c r="A13" s="11"/>
      <c r="E13" s="288">
        <f>SUM(E9:E12)</f>
        <v>5220322.1673129369</v>
      </c>
    </row>
    <row r="14" spans="1:12" x14ac:dyDescent="0.35">
      <c r="A14" s="11"/>
      <c r="E14" s="288"/>
    </row>
    <row r="15" spans="1:12" x14ac:dyDescent="0.35">
      <c r="A15" s="336"/>
      <c r="B15" s="60" t="s">
        <v>884</v>
      </c>
      <c r="D15" s="60"/>
      <c r="E15" s="18" t="s">
        <v>1346</v>
      </c>
      <c r="K15" s="282"/>
      <c r="L15" s="282"/>
    </row>
    <row r="16" spans="1:12" x14ac:dyDescent="0.35">
      <c r="A16" s="11"/>
      <c r="E16" s="288"/>
      <c r="K16" s="282"/>
      <c r="L16" s="282"/>
    </row>
    <row r="17" spans="1:12" x14ac:dyDescent="0.35">
      <c r="A17" s="11"/>
      <c r="C17" s="5" t="s">
        <v>1345</v>
      </c>
      <c r="E17" s="488">
        <f>E13</f>
        <v>5220322.1673129369</v>
      </c>
      <c r="K17" s="282"/>
      <c r="L17" s="282"/>
    </row>
    <row r="18" spans="1:12" ht="15" thickBot="1" x14ac:dyDescent="0.4">
      <c r="A18" s="13"/>
      <c r="B18" s="14"/>
      <c r="C18" s="409" t="s">
        <v>1193</v>
      </c>
      <c r="D18" s="14"/>
      <c r="E18" s="417">
        <f>(22+37)*500</f>
        <v>29500</v>
      </c>
      <c r="K18" s="282"/>
      <c r="L18" s="282"/>
    </row>
    <row r="20" spans="1:12" x14ac:dyDescent="0.35">
      <c r="A20" s="414" t="s">
        <v>1022</v>
      </c>
      <c r="B20" s="149"/>
      <c r="C20" s="149"/>
      <c r="D20" s="149"/>
      <c r="E20" s="149"/>
      <c r="F20" s="149"/>
      <c r="G20" s="2"/>
    </row>
    <row r="21" spans="1:12" x14ac:dyDescent="0.35">
      <c r="A21" s="433" t="s">
        <v>995</v>
      </c>
      <c r="B21" s="434" t="s">
        <v>1196</v>
      </c>
      <c r="C21" s="434" t="s">
        <v>1216</v>
      </c>
      <c r="D21" s="434" t="s">
        <v>1217</v>
      </c>
      <c r="E21" s="434" t="s">
        <v>1197</v>
      </c>
      <c r="F21" s="434" t="s">
        <v>992</v>
      </c>
    </row>
    <row r="22" spans="1:12" s="5" customFormat="1" x14ac:dyDescent="0.35">
      <c r="A22" s="435" t="s">
        <v>1187</v>
      </c>
      <c r="B22" s="436">
        <v>30.297194388787826</v>
      </c>
      <c r="C22" s="436">
        <v>112.83525512513864</v>
      </c>
      <c r="D22" s="436">
        <v>27.726020761770855</v>
      </c>
      <c r="E22" s="436">
        <v>22.261342720986502</v>
      </c>
      <c r="F22" s="436">
        <v>193.11981299668383</v>
      </c>
      <c r="H22"/>
      <c r="I22"/>
      <c r="J22"/>
    </row>
    <row r="23" spans="1:12" x14ac:dyDescent="0.35">
      <c r="A23" s="435" t="s">
        <v>1186</v>
      </c>
      <c r="B23" s="436">
        <v>65.628247826553633</v>
      </c>
      <c r="C23" s="436">
        <v>233.11202698329805</v>
      </c>
      <c r="D23" s="436">
        <v>47.968178794911466</v>
      </c>
      <c r="E23" s="436">
        <v>37.334069343846558</v>
      </c>
      <c r="F23" s="436">
        <v>384.04252294860976</v>
      </c>
      <c r="H23" s="5"/>
      <c r="I23" s="5"/>
      <c r="J23" s="5"/>
    </row>
    <row r="24" spans="1:12" x14ac:dyDescent="0.35">
      <c r="A24" s="435" t="s">
        <v>1072</v>
      </c>
      <c r="B24" s="436">
        <v>103.75729258581802</v>
      </c>
      <c r="C24" s="436">
        <v>194.91032880470044</v>
      </c>
      <c r="D24" s="436">
        <v>1.8884598158686399</v>
      </c>
      <c r="E24" s="436">
        <v>3.4125200100677482</v>
      </c>
      <c r="F24" s="436">
        <v>303.96860121645483</v>
      </c>
    </row>
    <row r="25" spans="1:12" x14ac:dyDescent="0.35">
      <c r="A25" s="224" t="s">
        <v>1109</v>
      </c>
      <c r="B25" s="128"/>
      <c r="C25" s="430"/>
      <c r="D25" s="430"/>
      <c r="E25" s="431">
        <f>(37+22)*500</f>
        <v>29500</v>
      </c>
      <c r="F25" s="60"/>
    </row>
    <row r="26" spans="1:12" x14ac:dyDescent="0.35">
      <c r="A26" s="224" t="s">
        <v>1559</v>
      </c>
      <c r="B26" s="128">
        <f>SUM(B22:D22)</f>
        <v>170.85847027569733</v>
      </c>
      <c r="C26" s="430"/>
      <c r="D26" s="430"/>
      <c r="E26" s="431" t="s">
        <v>1185</v>
      </c>
      <c r="F26" s="60"/>
    </row>
    <row r="29" spans="1:12" ht="18.5" x14ac:dyDescent="0.45">
      <c r="A29" s="267" t="s">
        <v>883</v>
      </c>
      <c r="B29" s="96"/>
      <c r="C29" s="96"/>
    </row>
    <row r="31" spans="1:12" x14ac:dyDescent="0.35">
      <c r="A31" s="121" t="s">
        <v>820</v>
      </c>
    </row>
    <row r="32" spans="1:12" x14ac:dyDescent="0.35">
      <c r="A32" s="60" t="s">
        <v>160</v>
      </c>
    </row>
    <row r="33" spans="1:4" x14ac:dyDescent="0.35">
      <c r="A33" s="60" t="s">
        <v>821</v>
      </c>
      <c r="B33" s="60"/>
      <c r="C33" s="60"/>
      <c r="D33" s="60"/>
    </row>
    <row r="34" spans="1:4" x14ac:dyDescent="0.35">
      <c r="A34" t="s">
        <v>822</v>
      </c>
      <c r="B34" s="60"/>
      <c r="C34" s="60"/>
      <c r="D34" s="60"/>
    </row>
    <row r="35" spans="1:4" x14ac:dyDescent="0.35">
      <c r="A35" t="s">
        <v>1350</v>
      </c>
      <c r="B35" s="60"/>
      <c r="C35" s="60"/>
      <c r="D35" s="60"/>
    </row>
    <row r="36" spans="1:4" x14ac:dyDescent="0.35">
      <c r="A36" s="277" t="s">
        <v>823</v>
      </c>
      <c r="B36" s="60"/>
      <c r="C36" s="60"/>
      <c r="D36" s="60"/>
    </row>
    <row r="37" spans="1:4" x14ac:dyDescent="0.35">
      <c r="A37" s="277" t="s">
        <v>1188</v>
      </c>
      <c r="B37" s="60"/>
      <c r="C37" s="60"/>
      <c r="D37" s="60"/>
    </row>
    <row r="38" spans="1:4" x14ac:dyDescent="0.35">
      <c r="A38" t="s">
        <v>824</v>
      </c>
    </row>
    <row r="39" spans="1:4" x14ac:dyDescent="0.35">
      <c r="A39" t="s">
        <v>825</v>
      </c>
    </row>
    <row r="41" spans="1:4" x14ac:dyDescent="0.35">
      <c r="A41" t="s">
        <v>826</v>
      </c>
    </row>
    <row r="42" spans="1:4" x14ac:dyDescent="0.35">
      <c r="A42" t="s">
        <v>827</v>
      </c>
      <c r="B42" s="50">
        <f>B26</f>
        <v>170.85847027569733</v>
      </c>
    </row>
    <row r="43" spans="1:4" x14ac:dyDescent="0.35">
      <c r="A43" t="s">
        <v>398</v>
      </c>
      <c r="B43">
        <v>0.5</v>
      </c>
    </row>
    <row r="44" spans="1:4" x14ac:dyDescent="0.35">
      <c r="A44" t="s">
        <v>736</v>
      </c>
      <c r="B44" s="489">
        <f>+B42/B43</f>
        <v>341.71694055139466</v>
      </c>
    </row>
    <row r="45" spans="1:4" x14ac:dyDescent="0.35">
      <c r="A45" t="s">
        <v>737</v>
      </c>
      <c r="B45" s="94">
        <f>B44*'Rates 2020'!J11*2</f>
        <v>340575.605969953</v>
      </c>
      <c r="D45" s="45"/>
    </row>
    <row r="47" spans="1:4" x14ac:dyDescent="0.35">
      <c r="A47" s="121" t="s">
        <v>820</v>
      </c>
      <c r="B47" s="188">
        <f>B45</f>
        <v>340575.605969953</v>
      </c>
    </row>
    <row r="50" spans="1:4" x14ac:dyDescent="0.35">
      <c r="A50" s="121" t="s">
        <v>180</v>
      </c>
      <c r="B50" s="44"/>
    </row>
    <row r="51" spans="1:4" x14ac:dyDescent="0.35">
      <c r="A51" t="s">
        <v>160</v>
      </c>
    </row>
    <row r="52" spans="1:4" x14ac:dyDescent="0.35">
      <c r="A52" t="s">
        <v>795</v>
      </c>
    </row>
    <row r="53" spans="1:4" x14ac:dyDescent="0.35">
      <c r="A53" t="s">
        <v>1347</v>
      </c>
    </row>
    <row r="55" spans="1:4" ht="29" x14ac:dyDescent="0.35">
      <c r="A55" s="486" t="s">
        <v>828</v>
      </c>
      <c r="B55" s="404" t="s">
        <v>745</v>
      </c>
      <c r="C55" s="404" t="s">
        <v>746</v>
      </c>
      <c r="D55" s="490" t="s">
        <v>747</v>
      </c>
    </row>
    <row r="56" spans="1:4" x14ac:dyDescent="0.35">
      <c r="A56" s="353" t="s">
        <v>829</v>
      </c>
      <c r="B56" s="352">
        <v>171</v>
      </c>
      <c r="C56" s="356">
        <v>28</v>
      </c>
      <c r="D56" s="491">
        <f>(B56*43560*(C56/12))/27</f>
        <v>643720</v>
      </c>
    </row>
    <row r="57" spans="1:4" x14ac:dyDescent="0.35">
      <c r="B57" s="2"/>
      <c r="C57" s="51"/>
      <c r="D57" s="212"/>
    </row>
    <row r="58" spans="1:4" x14ac:dyDescent="0.35">
      <c r="A58" t="s">
        <v>172</v>
      </c>
      <c r="B58" s="2"/>
      <c r="C58" s="66">
        <f>+D56*1.15</f>
        <v>740278</v>
      </c>
    </row>
    <row r="59" spans="1:4" x14ac:dyDescent="0.35">
      <c r="A59" t="s">
        <v>1190</v>
      </c>
      <c r="C59" s="25">
        <v>3300</v>
      </c>
      <c r="D59" s="51"/>
    </row>
    <row r="60" spans="1:4" x14ac:dyDescent="0.35">
      <c r="A60" t="s">
        <v>1189</v>
      </c>
      <c r="C60" s="66">
        <f>(C58*C59)/2000</f>
        <v>1221458.7</v>
      </c>
    </row>
    <row r="61" spans="1:4" x14ac:dyDescent="0.35">
      <c r="A61" t="s">
        <v>1191</v>
      </c>
      <c r="C61" s="76">
        <v>8000</v>
      </c>
    </row>
    <row r="63" spans="1:4" x14ac:dyDescent="0.35">
      <c r="A63" s="60" t="s">
        <v>1348</v>
      </c>
    </row>
    <row r="64" spans="1:4" x14ac:dyDescent="0.35">
      <c r="A64" s="60" t="s">
        <v>212</v>
      </c>
      <c r="D64" s="70">
        <v>12</v>
      </c>
    </row>
    <row r="65" spans="1:4" x14ac:dyDescent="0.35">
      <c r="A65" s="60" t="s">
        <v>213</v>
      </c>
      <c r="D65" s="70">
        <v>20</v>
      </c>
    </row>
    <row r="66" spans="1:4" ht="15.5" x14ac:dyDescent="0.35">
      <c r="A66" s="52"/>
    </row>
    <row r="67" spans="1:4" x14ac:dyDescent="0.35">
      <c r="A67" s="79" t="s">
        <v>183</v>
      </c>
    </row>
    <row r="68" spans="1:4" x14ac:dyDescent="0.35">
      <c r="A68" t="s">
        <v>184</v>
      </c>
      <c r="B68">
        <v>2.4500000000000002</v>
      </c>
    </row>
    <row r="69" spans="1:4" x14ac:dyDescent="0.35">
      <c r="A69" t="s">
        <v>185</v>
      </c>
      <c r="B69" s="21">
        <f>C61/((D64*5280)/60)</f>
        <v>7.5757575757575761</v>
      </c>
    </row>
    <row r="70" spans="1:4" x14ac:dyDescent="0.35">
      <c r="A70" t="s">
        <v>186</v>
      </c>
      <c r="B70">
        <v>1.6</v>
      </c>
    </row>
    <row r="71" spans="1:4" x14ac:dyDescent="0.35">
      <c r="A71" t="s">
        <v>187</v>
      </c>
      <c r="B71" s="54">
        <f>C61/((D65*5280)/60)</f>
        <v>4.5454545454545459</v>
      </c>
    </row>
    <row r="72" spans="1:4" x14ac:dyDescent="0.35">
      <c r="A72" t="s">
        <v>188</v>
      </c>
      <c r="B72" s="55">
        <f>SUM(B68:B71)</f>
        <v>16.171212121212122</v>
      </c>
    </row>
    <row r="73" spans="1:4" x14ac:dyDescent="0.35">
      <c r="A73" t="s">
        <v>189</v>
      </c>
      <c r="B73">
        <v>0</v>
      </c>
    </row>
    <row r="74" spans="1:4" x14ac:dyDescent="0.35">
      <c r="A74" t="s">
        <v>190</v>
      </c>
      <c r="B74" s="20">
        <v>0</v>
      </c>
      <c r="C74" s="58" t="s">
        <v>191</v>
      </c>
      <c r="D74" s="73" t="s">
        <v>230</v>
      </c>
    </row>
    <row r="75" spans="1:4" x14ac:dyDescent="0.35">
      <c r="A75" t="s">
        <v>192</v>
      </c>
      <c r="B75" s="55">
        <f>SUM(B72:B74)</f>
        <v>16.171212121212122</v>
      </c>
      <c r="C75" s="75">
        <f>B69+B70+B71</f>
        <v>13.721212121212123</v>
      </c>
      <c r="D75" s="72">
        <f>C75/B68</f>
        <v>5.6004947433518861</v>
      </c>
    </row>
    <row r="76" spans="1:4" x14ac:dyDescent="0.35">
      <c r="A76" t="s">
        <v>193</v>
      </c>
      <c r="B76" s="55">
        <f>60/B75</f>
        <v>3.7102970111496298</v>
      </c>
    </row>
    <row r="77" spans="1:4" x14ac:dyDescent="0.35">
      <c r="B77" s="55"/>
    </row>
    <row r="78" spans="1:4" x14ac:dyDescent="0.35">
      <c r="A78" t="s">
        <v>221</v>
      </c>
      <c r="B78" s="25">
        <v>77</v>
      </c>
    </row>
    <row r="79" spans="1:4" x14ac:dyDescent="0.35">
      <c r="A79" t="s">
        <v>224</v>
      </c>
      <c r="B79" s="118">
        <f>B76*B78</f>
        <v>285.69286985852148</v>
      </c>
    </row>
    <row r="81" spans="1:8" x14ac:dyDescent="0.35">
      <c r="A81" s="56" t="s">
        <v>222</v>
      </c>
      <c r="B81">
        <v>5</v>
      </c>
      <c r="C81" s="21">
        <f>B78/15</f>
        <v>5.1333333333333337</v>
      </c>
    </row>
    <row r="82" spans="1:8" x14ac:dyDescent="0.35">
      <c r="A82" t="s">
        <v>194</v>
      </c>
      <c r="B82">
        <v>0.7</v>
      </c>
    </row>
    <row r="83" spans="1:8" x14ac:dyDescent="0.35">
      <c r="A83" t="s">
        <v>195</v>
      </c>
      <c r="B83">
        <f>B81*B82</f>
        <v>3.5</v>
      </c>
    </row>
    <row r="84" spans="1:8" x14ac:dyDescent="0.35">
      <c r="A84" t="s">
        <v>196</v>
      </c>
      <c r="B84" s="50">
        <f>B75/B83</f>
        <v>4.6203463203463206</v>
      </c>
      <c r="C84" s="74" t="s">
        <v>223</v>
      </c>
      <c r="D84" s="56"/>
    </row>
    <row r="86" spans="1:8" x14ac:dyDescent="0.35">
      <c r="A86" t="s">
        <v>197</v>
      </c>
      <c r="B86" s="57">
        <f>(B84*B78)/B75</f>
        <v>22</v>
      </c>
    </row>
    <row r="87" spans="1:8" x14ac:dyDescent="0.35">
      <c r="A87" t="s">
        <v>198</v>
      </c>
      <c r="B87" s="50">
        <f>B86*60</f>
        <v>1320</v>
      </c>
    </row>
    <row r="88" spans="1:8" x14ac:dyDescent="0.35">
      <c r="A88" t="s">
        <v>199</v>
      </c>
      <c r="B88" s="55">
        <v>0.83</v>
      </c>
    </row>
    <row r="89" spans="1:8" x14ac:dyDescent="0.35">
      <c r="A89" t="s">
        <v>200</v>
      </c>
      <c r="B89">
        <v>0.9</v>
      </c>
    </row>
    <row r="90" spans="1:8" x14ac:dyDescent="0.35">
      <c r="A90" t="s">
        <v>201</v>
      </c>
      <c r="B90" s="50">
        <f>B87*B88*B89</f>
        <v>986.04</v>
      </c>
    </row>
    <row r="91" spans="1:8" x14ac:dyDescent="0.35">
      <c r="A91" t="s">
        <v>202</v>
      </c>
      <c r="B91" s="492">
        <f>C58/B90</f>
        <v>750.75858991521648</v>
      </c>
    </row>
    <row r="92" spans="1:8" ht="15.5" x14ac:dyDescent="0.35">
      <c r="A92" s="260"/>
      <c r="B92" s="261"/>
      <c r="C92" s="262"/>
    </row>
    <row r="93" spans="1:8" x14ac:dyDescent="0.35">
      <c r="B93" s="2" t="s">
        <v>203</v>
      </c>
      <c r="C93" s="2" t="s">
        <v>92</v>
      </c>
      <c r="D93" s="63" t="s">
        <v>214</v>
      </c>
      <c r="E93" s="64" t="s">
        <v>204</v>
      </c>
      <c r="F93" s="65" t="s">
        <v>170</v>
      </c>
      <c r="G93" s="2" t="s">
        <v>205</v>
      </c>
      <c r="H93" s="2" t="s">
        <v>206</v>
      </c>
    </row>
    <row r="94" spans="1:8" x14ac:dyDescent="0.35">
      <c r="A94" t="s">
        <v>207</v>
      </c>
      <c r="B94" s="369">
        <v>1</v>
      </c>
      <c r="C94" s="352" t="s">
        <v>216</v>
      </c>
      <c r="D94" s="369">
        <f>'Rates 2020'!$J$27</f>
        <v>629.72</v>
      </c>
      <c r="E94" s="369">
        <f>$B$91*B94</f>
        <v>750.75858991521648</v>
      </c>
      <c r="F94" s="376">
        <f>D94*E94</f>
        <v>472767.69924141013</v>
      </c>
      <c r="G94" s="371">
        <f>F94/$C$60</f>
        <v>0.38705172695680184</v>
      </c>
      <c r="H94" s="355">
        <f>F94/$C$58</f>
        <v>0.63863534947872302</v>
      </c>
    </row>
    <row r="95" spans="1:8" x14ac:dyDescent="0.35">
      <c r="A95" t="s">
        <v>208</v>
      </c>
      <c r="B95" s="369">
        <f>B84</f>
        <v>4.6203463203463206</v>
      </c>
      <c r="C95" s="369" t="s">
        <v>217</v>
      </c>
      <c r="D95" s="369">
        <f>'Rates 2020'!$J$66</f>
        <v>468.39</v>
      </c>
      <c r="E95" s="369">
        <f>$B$91*B95</f>
        <v>3468.7646883831626</v>
      </c>
      <c r="F95" s="376">
        <f>D95*E95</f>
        <v>1624734.6923917895</v>
      </c>
      <c r="G95" s="371">
        <f>F95/$C$60</f>
        <v>1.330159335220904</v>
      </c>
      <c r="H95" s="355">
        <f>F95/$C$58</f>
        <v>2.1947629031144915</v>
      </c>
    </row>
    <row r="96" spans="1:8" x14ac:dyDescent="0.35">
      <c r="A96" t="s">
        <v>209</v>
      </c>
      <c r="B96" s="372">
        <v>1</v>
      </c>
      <c r="C96" s="369" t="s">
        <v>218</v>
      </c>
      <c r="D96" s="373">
        <f>'Rates 2020'!$J$51</f>
        <v>194.65</v>
      </c>
      <c r="E96" s="369">
        <f>$B$91*B96</f>
        <v>750.75858991521648</v>
      </c>
      <c r="F96" s="376">
        <f>D96*E96</f>
        <v>146135.1595269969</v>
      </c>
      <c r="G96" s="371">
        <f>F96/$C$60</f>
        <v>0.11963986954859539</v>
      </c>
      <c r="H96" s="355">
        <f>F96/$C$58</f>
        <v>0.19740578475518236</v>
      </c>
    </row>
    <row r="97" spans="1:8" x14ac:dyDescent="0.35">
      <c r="A97" t="s">
        <v>210</v>
      </c>
      <c r="B97" s="372">
        <v>1</v>
      </c>
      <c r="C97" s="369" t="s">
        <v>98</v>
      </c>
      <c r="D97" s="373">
        <f>'Rates 2020'!$J$13</f>
        <v>332.61</v>
      </c>
      <c r="E97" s="369">
        <f>$B$91*B97</f>
        <v>750.75858991521648</v>
      </c>
      <c r="F97" s="376">
        <f>D97*E97</f>
        <v>249709.81459170015</v>
      </c>
      <c r="G97" s="371">
        <f>F97/$C$60</f>
        <v>0.20443574112796459</v>
      </c>
      <c r="H97" s="355">
        <f>F97/$C$58</f>
        <v>0.33731897286114154</v>
      </c>
    </row>
    <row r="98" spans="1:8" x14ac:dyDescent="0.35">
      <c r="A98" t="s">
        <v>210</v>
      </c>
      <c r="B98" s="369">
        <v>1</v>
      </c>
      <c r="C98" s="370" t="s">
        <v>219</v>
      </c>
      <c r="D98" s="373">
        <f>'Rates 2020'!$J$56</f>
        <v>105.45</v>
      </c>
      <c r="E98" s="369">
        <f>$B$91*B98</f>
        <v>750.75858991521648</v>
      </c>
      <c r="F98" s="376">
        <f>D98*E98</f>
        <v>79167.493306559583</v>
      </c>
      <c r="G98" s="371">
        <f>F98/$C$60</f>
        <v>6.4813892853323313E-2</v>
      </c>
      <c r="H98" s="355">
        <f>F98/$C$58</f>
        <v>0.10694292320798346</v>
      </c>
    </row>
    <row r="99" spans="1:8" x14ac:dyDescent="0.35">
      <c r="A99" t="s">
        <v>220</v>
      </c>
      <c r="B99" s="63">
        <f>SUM(B94:B98)</f>
        <v>8.6203463203463215</v>
      </c>
      <c r="C99" s="63"/>
      <c r="D99" s="2"/>
      <c r="E99" s="63">
        <f>SUM(E94:E98)</f>
        <v>6471.7990480440285</v>
      </c>
      <c r="F99" s="385">
        <f>SUM(F94:F98)</f>
        <v>2572514.859058456</v>
      </c>
      <c r="G99" s="71">
        <f>SUM(G94:G98)</f>
        <v>2.1061005657075893</v>
      </c>
      <c r="H99" s="65">
        <f>SUM(H94:H98)</f>
        <v>3.4750659334175222</v>
      </c>
    </row>
    <row r="100" spans="1:8" ht="15.5" x14ac:dyDescent="0.35">
      <c r="A100" s="260"/>
      <c r="B100" s="261"/>
      <c r="C100" s="262"/>
    </row>
    <row r="101" spans="1:8" x14ac:dyDescent="0.35">
      <c r="A101" s="79" t="s">
        <v>225</v>
      </c>
    </row>
    <row r="102" spans="1:8" x14ac:dyDescent="0.35">
      <c r="A102" t="s">
        <v>226</v>
      </c>
      <c r="C102" s="76">
        <f>B91</f>
        <v>750.75858991521648</v>
      </c>
    </row>
    <row r="103" spans="1:8" x14ac:dyDescent="0.35">
      <c r="A103" t="s">
        <v>167</v>
      </c>
      <c r="C103" s="76">
        <f>C102*2</f>
        <v>1501.517179830433</v>
      </c>
    </row>
    <row r="104" spans="1:8" x14ac:dyDescent="0.35">
      <c r="A104" t="s">
        <v>227</v>
      </c>
      <c r="B104" s="25" t="s">
        <v>228</v>
      </c>
      <c r="C104" s="77">
        <f>C103*'Rates 2020'!$J$11</f>
        <v>748251.0562248996</v>
      </c>
    </row>
    <row r="105" spans="1:8" x14ac:dyDescent="0.35">
      <c r="B105" s="25" t="s">
        <v>228</v>
      </c>
      <c r="C105" s="78">
        <f>C103*'Rates 2020'!$J$11</f>
        <v>748251.0562248996</v>
      </c>
    </row>
    <row r="106" spans="1:8" x14ac:dyDescent="0.35">
      <c r="B106" s="25" t="s">
        <v>83</v>
      </c>
      <c r="C106" s="385">
        <f>SUM(C104:C105)</f>
        <v>1496502.1124497992</v>
      </c>
    </row>
    <row r="109" spans="1:8" x14ac:dyDescent="0.35">
      <c r="A109" s="121" t="s">
        <v>180</v>
      </c>
      <c r="B109" s="383">
        <f>C106+F99</f>
        <v>4069016.9715082552</v>
      </c>
    </row>
    <row r="112" spans="1:8" x14ac:dyDescent="0.35">
      <c r="A112" s="121" t="s">
        <v>231</v>
      </c>
      <c r="B112" s="121"/>
      <c r="D112" s="275"/>
    </row>
    <row r="113" spans="1:7" x14ac:dyDescent="0.35">
      <c r="A113" t="s">
        <v>160</v>
      </c>
    </row>
    <row r="114" spans="1:7" x14ac:dyDescent="0.35">
      <c r="A114" t="s">
        <v>232</v>
      </c>
    </row>
    <row r="115" spans="1:7" x14ac:dyDescent="0.35">
      <c r="A115" t="s">
        <v>233</v>
      </c>
    </row>
    <row r="116" spans="1:7" x14ac:dyDescent="0.35">
      <c r="A116" t="s">
        <v>793</v>
      </c>
    </row>
    <row r="117" spans="1:7" x14ac:dyDescent="0.35">
      <c r="A117" t="s">
        <v>830</v>
      </c>
      <c r="C117" s="60"/>
    </row>
    <row r="118" spans="1:7" x14ac:dyDescent="0.35">
      <c r="A118" t="s">
        <v>795</v>
      </c>
      <c r="C118" s="60"/>
    </row>
    <row r="119" spans="1:7" x14ac:dyDescent="0.35">
      <c r="A119" t="s">
        <v>234</v>
      </c>
    </row>
    <row r="120" spans="1:7" x14ac:dyDescent="0.35">
      <c r="B120" s="88" t="s">
        <v>235</v>
      </c>
      <c r="C120" s="89" t="s">
        <v>236</v>
      </c>
      <c r="D120" s="89" t="s">
        <v>237</v>
      </c>
      <c r="E120" s="90" t="s">
        <v>238</v>
      </c>
      <c r="F120" s="90" t="s">
        <v>239</v>
      </c>
      <c r="G120" s="91" t="s">
        <v>240</v>
      </c>
    </row>
    <row r="121" spans="1:7" x14ac:dyDescent="0.35">
      <c r="B121" s="86" t="s">
        <v>241</v>
      </c>
      <c r="C121" s="24">
        <f>$C$58</f>
        <v>740278</v>
      </c>
      <c r="D121" s="80">
        <v>2500</v>
      </c>
      <c r="E121" s="2">
        <v>0</v>
      </c>
      <c r="F121" s="2" t="s">
        <v>242</v>
      </c>
      <c r="G121" s="81">
        <f>+(C121/D121)*E121</f>
        <v>0</v>
      </c>
    </row>
    <row r="122" spans="1:7" x14ac:dyDescent="0.35">
      <c r="B122" s="86" t="s">
        <v>243</v>
      </c>
      <c r="C122" s="24">
        <f>$C$58</f>
        <v>740278</v>
      </c>
      <c r="D122" s="80">
        <v>30000</v>
      </c>
      <c r="E122" s="2">
        <f>200+25</f>
        <v>225</v>
      </c>
      <c r="F122" s="2">
        <v>10</v>
      </c>
      <c r="G122" s="81">
        <f>(C122/D122)*(E122+F122)</f>
        <v>5798.8443333333335</v>
      </c>
    </row>
    <row r="123" spans="1:7" x14ac:dyDescent="0.35">
      <c r="B123" s="86" t="s">
        <v>244</v>
      </c>
      <c r="C123" s="24">
        <f>$C$58</f>
        <v>740278</v>
      </c>
      <c r="D123" s="80">
        <v>10000</v>
      </c>
      <c r="E123" s="2">
        <v>45</v>
      </c>
      <c r="F123" s="2">
        <v>10</v>
      </c>
      <c r="G123" s="81">
        <f>(C123/D123)*(E123+F123)</f>
        <v>4071.529</v>
      </c>
    </row>
    <row r="124" spans="1:7" ht="16" x14ac:dyDescent="0.5">
      <c r="B124" s="86" t="s">
        <v>245</v>
      </c>
      <c r="C124" s="24">
        <f>$C$58</f>
        <v>740278</v>
      </c>
      <c r="D124" s="80">
        <v>2500</v>
      </c>
      <c r="E124" s="2">
        <v>15</v>
      </c>
      <c r="F124" s="2">
        <v>10</v>
      </c>
      <c r="G124" s="92">
        <f>(C124/D124)*(E124+F124)</f>
        <v>7402.78</v>
      </c>
    </row>
    <row r="125" spans="1:7" x14ac:dyDescent="0.35">
      <c r="B125" s="87"/>
      <c r="C125" s="20"/>
      <c r="D125" s="20"/>
      <c r="E125" s="20"/>
      <c r="F125" s="20" t="s">
        <v>83</v>
      </c>
      <c r="G125" s="82">
        <f>SUM(G121:G124)</f>
        <v>17273.153333333332</v>
      </c>
    </row>
    <row r="127" spans="1:7" x14ac:dyDescent="0.35">
      <c r="A127" t="s">
        <v>246</v>
      </c>
    </row>
    <row r="128" spans="1:7" x14ac:dyDescent="0.35">
      <c r="A128" t="s">
        <v>247</v>
      </c>
    </row>
    <row r="129" spans="1:2" x14ac:dyDescent="0.35">
      <c r="A129" s="93" t="s">
        <v>681</v>
      </c>
    </row>
    <row r="130" spans="1:2" x14ac:dyDescent="0.35">
      <c r="A130" s="93" t="s">
        <v>248</v>
      </c>
    </row>
    <row r="132" spans="1:2" x14ac:dyDescent="0.35">
      <c r="A132" t="s">
        <v>249</v>
      </c>
    </row>
    <row r="133" spans="1:2" x14ac:dyDescent="0.35">
      <c r="A133" t="s">
        <v>250</v>
      </c>
      <c r="B133" s="50">
        <f>B26</f>
        <v>170.85847027569733</v>
      </c>
    </row>
    <row r="134" spans="1:2" x14ac:dyDescent="0.35">
      <c r="A134" t="s">
        <v>251</v>
      </c>
      <c r="B134">
        <v>1000</v>
      </c>
    </row>
    <row r="135" spans="1:2" x14ac:dyDescent="0.35">
      <c r="A135" t="s">
        <v>252</v>
      </c>
      <c r="B135" s="135">
        <v>25</v>
      </c>
    </row>
    <row r="136" spans="1:2" x14ac:dyDescent="0.35">
      <c r="A136" t="s">
        <v>253</v>
      </c>
      <c r="B136" s="84">
        <f>((B133*23*2000)/B134)*B135</f>
        <v>196487.24081705193</v>
      </c>
    </row>
    <row r="138" spans="1:2" x14ac:dyDescent="0.35">
      <c r="A138" t="s">
        <v>1183</v>
      </c>
    </row>
    <row r="139" spans="1:2" x14ac:dyDescent="0.35">
      <c r="A139" t="s">
        <v>272</v>
      </c>
    </row>
    <row r="140" spans="1:2" x14ac:dyDescent="0.35">
      <c r="A140" t="s">
        <v>254</v>
      </c>
    </row>
    <row r="141" spans="1:2" x14ac:dyDescent="0.35">
      <c r="A141" t="s">
        <v>255</v>
      </c>
    </row>
    <row r="142" spans="1:2" x14ac:dyDescent="0.35">
      <c r="A142" t="s">
        <v>256</v>
      </c>
    </row>
    <row r="144" spans="1:2" x14ac:dyDescent="0.35">
      <c r="A144" t="s">
        <v>257</v>
      </c>
    </row>
    <row r="145" spans="1:3" x14ac:dyDescent="0.35">
      <c r="A145" t="s">
        <v>258</v>
      </c>
      <c r="B145">
        <v>150</v>
      </c>
    </row>
    <row r="146" spans="1:3" x14ac:dyDescent="0.35">
      <c r="A146" t="s">
        <v>259</v>
      </c>
      <c r="B146" s="23">
        <f>B91</f>
        <v>750.75858991521648</v>
      </c>
    </row>
    <row r="147" spans="1:3" x14ac:dyDescent="0.35">
      <c r="A147" t="s">
        <v>260</v>
      </c>
      <c r="B147" s="59">
        <f>B145*B146</f>
        <v>112613.78848728247</v>
      </c>
    </row>
    <row r="148" spans="1:3" ht="15.5" x14ac:dyDescent="0.35">
      <c r="A148" s="260"/>
      <c r="B148" s="262"/>
    </row>
    <row r="149" spans="1:3" x14ac:dyDescent="0.35">
      <c r="A149" t="s">
        <v>261</v>
      </c>
    </row>
    <row r="150" spans="1:3" x14ac:dyDescent="0.35">
      <c r="A150" t="s">
        <v>262</v>
      </c>
      <c r="B150">
        <v>200</v>
      </c>
    </row>
    <row r="151" spans="1:3" x14ac:dyDescent="0.35">
      <c r="A151" t="s">
        <v>263</v>
      </c>
      <c r="B151" s="120">
        <f>B91/200</f>
        <v>3.7537929495760824</v>
      </c>
    </row>
    <row r="152" spans="1:3" x14ac:dyDescent="0.35">
      <c r="A152" t="s">
        <v>264</v>
      </c>
      <c r="B152" s="100">
        <f>B150*B151</f>
        <v>750.75858991521648</v>
      </c>
    </row>
    <row r="153" spans="1:3" ht="15.5" x14ac:dyDescent="0.35">
      <c r="A153" s="260"/>
      <c r="B153" s="261"/>
      <c r="C153" s="262"/>
    </row>
    <row r="154" spans="1:3" ht="15.5" x14ac:dyDescent="0.35">
      <c r="A154" t="s">
        <v>753</v>
      </c>
      <c r="B154" s="261"/>
      <c r="C154" s="262"/>
    </row>
    <row r="155" spans="1:3" ht="15.5" x14ac:dyDescent="0.35">
      <c r="A155" t="s">
        <v>307</v>
      </c>
      <c r="B155" s="261"/>
      <c r="C155" s="262"/>
    </row>
    <row r="156" spans="1:3" ht="15.5" x14ac:dyDescent="0.35">
      <c r="A156" t="s">
        <v>265</v>
      </c>
      <c r="B156" s="261"/>
      <c r="C156" s="262"/>
    </row>
    <row r="157" spans="1:3" ht="15.5" x14ac:dyDescent="0.35">
      <c r="A157" s="260"/>
      <c r="B157" s="261"/>
      <c r="C157" s="262"/>
    </row>
    <row r="158" spans="1:3" x14ac:dyDescent="0.35">
      <c r="A158" t="s">
        <v>266</v>
      </c>
    </row>
    <row r="159" spans="1:3" x14ac:dyDescent="0.35">
      <c r="A159" t="s">
        <v>831</v>
      </c>
      <c r="B159" s="50">
        <f>B26</f>
        <v>170.85847027569733</v>
      </c>
    </row>
    <row r="160" spans="1:3" x14ac:dyDescent="0.35">
      <c r="A160" t="s">
        <v>267</v>
      </c>
      <c r="B160">
        <v>0.5</v>
      </c>
    </row>
    <row r="161" spans="1:4" x14ac:dyDescent="0.35">
      <c r="A161" t="s">
        <v>268</v>
      </c>
      <c r="B161" s="85">
        <f>B159/B160</f>
        <v>341.71694055139466</v>
      </c>
    </row>
    <row r="162" spans="1:4" x14ac:dyDescent="0.35">
      <c r="A162" t="s">
        <v>269</v>
      </c>
      <c r="B162" s="59">
        <f>B161*'Rates 2020'!$J$13*2</f>
        <v>227316.94319359877</v>
      </c>
    </row>
    <row r="163" spans="1:4" x14ac:dyDescent="0.35">
      <c r="D163" s="26"/>
    </row>
    <row r="164" spans="1:4" x14ac:dyDescent="0.35">
      <c r="A164" s="121" t="s">
        <v>270</v>
      </c>
      <c r="B164" s="121"/>
      <c r="C164" s="124">
        <f>B162+B152+B147+B136+G125</f>
        <v>554441.88442118175</v>
      </c>
    </row>
    <row r="167" spans="1:4" x14ac:dyDescent="0.35">
      <c r="A167" s="121" t="s">
        <v>274</v>
      </c>
      <c r="B167" s="121"/>
    </row>
    <row r="168" spans="1:4" x14ac:dyDescent="0.35">
      <c r="A168" t="s">
        <v>160</v>
      </c>
    </row>
    <row r="169" spans="1:4" x14ac:dyDescent="0.35">
      <c r="A169" s="60" t="s">
        <v>886</v>
      </c>
    </row>
    <row r="170" spans="1:4" x14ac:dyDescent="0.35">
      <c r="A170" t="s">
        <v>1409</v>
      </c>
    </row>
    <row r="171" spans="1:4" x14ac:dyDescent="0.35">
      <c r="A171" t="s">
        <v>278</v>
      </c>
    </row>
    <row r="173" spans="1:4" x14ac:dyDescent="0.35">
      <c r="A173" t="s">
        <v>827</v>
      </c>
      <c r="B173" s="50">
        <f>B26</f>
        <v>170.85847027569733</v>
      </c>
    </row>
    <row r="174" spans="1:4" x14ac:dyDescent="0.35">
      <c r="A174" t="s">
        <v>275</v>
      </c>
      <c r="B174" s="22">
        <v>1500</v>
      </c>
    </row>
    <row r="175" spans="1:4" x14ac:dyDescent="0.35">
      <c r="A175" t="s">
        <v>170</v>
      </c>
      <c r="B175" s="94">
        <f>B173*B174</f>
        <v>256287.70541354601</v>
      </c>
    </row>
    <row r="177" spans="1:3" x14ac:dyDescent="0.35">
      <c r="A177" s="121" t="s">
        <v>276</v>
      </c>
      <c r="B177" s="121"/>
      <c r="C177" s="124">
        <f>B175</f>
        <v>256287.70541354601</v>
      </c>
    </row>
    <row r="180" spans="1:3" ht="18.5" x14ac:dyDescent="0.45">
      <c r="A180" s="267" t="s">
        <v>885</v>
      </c>
      <c r="B180" s="96"/>
      <c r="C180" s="187">
        <f>C177+C164+B109+B47</f>
        <v>5220322.1673129359</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EA06DA"/>
  </sheetPr>
  <dimension ref="A1:J108"/>
  <sheetViews>
    <sheetView zoomScale="85" zoomScaleNormal="85" workbookViewId="0">
      <selection activeCell="J12" sqref="J12"/>
    </sheetView>
  </sheetViews>
  <sheetFormatPr defaultRowHeight="14.5" x14ac:dyDescent="0.35"/>
  <cols>
    <col min="1" max="1" width="15.26953125" customWidth="1"/>
    <col min="2" max="2" width="26.54296875" customWidth="1"/>
    <col min="3" max="3" width="27.81640625" customWidth="1"/>
    <col min="4" max="4" width="16.26953125" bestFit="1" customWidth="1"/>
    <col min="5" max="5" width="13.81640625" customWidth="1"/>
    <col min="6" max="6" width="15.26953125" customWidth="1"/>
    <col min="7" max="7" width="24.7265625" bestFit="1" customWidth="1"/>
    <col min="8" max="8" width="16.453125" customWidth="1"/>
    <col min="9" max="9" width="15.453125" customWidth="1"/>
    <col min="10" max="10" width="18" customWidth="1"/>
  </cols>
  <sheetData>
    <row r="1" spans="1:9" x14ac:dyDescent="0.35">
      <c r="A1" s="307" t="s">
        <v>0</v>
      </c>
    </row>
    <row r="2" spans="1:9" x14ac:dyDescent="0.35">
      <c r="A2" s="308" t="s">
        <v>1</v>
      </c>
    </row>
    <row r="3" spans="1:9" x14ac:dyDescent="0.35">
      <c r="A3" s="308" t="s">
        <v>971</v>
      </c>
    </row>
    <row r="4" spans="1:9" x14ac:dyDescent="0.35">
      <c r="A4" s="309" t="s">
        <v>1546</v>
      </c>
      <c r="C4" s="2"/>
      <c r="D4" s="2"/>
      <c r="E4" s="2"/>
      <c r="F4" s="2"/>
      <c r="G4" s="2"/>
      <c r="H4" s="2"/>
    </row>
    <row r="5" spans="1:9" x14ac:dyDescent="0.35">
      <c r="A5" s="313"/>
      <c r="B5" s="48" t="s">
        <v>1022</v>
      </c>
      <c r="C5" s="149"/>
      <c r="D5" s="149"/>
      <c r="E5" s="149"/>
      <c r="F5" s="149"/>
      <c r="G5" s="149"/>
      <c r="H5" s="149"/>
    </row>
    <row r="6" spans="1:9" x14ac:dyDescent="0.35">
      <c r="B6" s="487" t="s">
        <v>995</v>
      </c>
      <c r="D6" s="434" t="s">
        <v>1196</v>
      </c>
      <c r="E6" s="434" t="s">
        <v>1216</v>
      </c>
      <c r="F6" s="434" t="s">
        <v>1217</v>
      </c>
      <c r="G6" s="434" t="s">
        <v>1197</v>
      </c>
      <c r="H6" s="434" t="s">
        <v>992</v>
      </c>
    </row>
    <row r="7" spans="1:9" x14ac:dyDescent="0.35">
      <c r="B7" s="264" t="s">
        <v>1014</v>
      </c>
      <c r="D7" s="351">
        <v>61.236998734773863</v>
      </c>
      <c r="E7" s="351">
        <v>1.8261016750428829</v>
      </c>
      <c r="F7" s="351">
        <v>0.98616125086442985</v>
      </c>
      <c r="G7" s="351">
        <v>65.532428213259109</v>
      </c>
      <c r="H7" s="351">
        <v>129.58168987394029</v>
      </c>
    </row>
    <row r="8" spans="1:9" x14ac:dyDescent="0.35">
      <c r="B8" s="264" t="s">
        <v>1003</v>
      </c>
      <c r="D8" s="351">
        <v>0.87203946424398904</v>
      </c>
      <c r="E8" s="351">
        <v>0.11920942867608</v>
      </c>
      <c r="F8" s="351"/>
      <c r="G8" s="351">
        <v>1.053806174469861</v>
      </c>
      <c r="H8" s="351">
        <v>2.0450550673899301</v>
      </c>
      <c r="I8" s="216" t="s">
        <v>1583</v>
      </c>
    </row>
    <row r="9" spans="1:9" x14ac:dyDescent="0.35">
      <c r="B9" s="264" t="s">
        <v>1069</v>
      </c>
      <c r="D9" s="351"/>
      <c r="E9" s="351"/>
      <c r="F9" s="351"/>
      <c r="G9" s="351">
        <v>237.63572873673996</v>
      </c>
      <c r="H9" s="351">
        <v>237.63572873673996</v>
      </c>
    </row>
    <row r="10" spans="1:9" x14ac:dyDescent="0.35">
      <c r="B10" s="264" t="s">
        <v>1070</v>
      </c>
      <c r="D10" s="351"/>
      <c r="E10" s="351"/>
      <c r="F10" s="351"/>
      <c r="G10" s="351">
        <v>446.34803034603146</v>
      </c>
      <c r="H10" s="351">
        <v>446.34803034603146</v>
      </c>
    </row>
    <row r="11" spans="1:9" x14ac:dyDescent="0.35">
      <c r="B11" s="264" t="s">
        <v>1071</v>
      </c>
      <c r="D11" s="351"/>
      <c r="E11" s="351"/>
      <c r="F11" s="351"/>
      <c r="G11" s="351">
        <v>75.787161318199125</v>
      </c>
      <c r="H11" s="351">
        <v>75.787161318199125</v>
      </c>
    </row>
    <row r="12" spans="1:9" x14ac:dyDescent="0.35">
      <c r="B12" s="264" t="s">
        <v>1413</v>
      </c>
      <c r="D12" s="351"/>
      <c r="E12" s="351"/>
      <c r="F12" s="351"/>
      <c r="G12" s="351">
        <v>19.348054459305299</v>
      </c>
      <c r="H12" s="351">
        <v>19.348054459305299</v>
      </c>
    </row>
    <row r="13" spans="1:9" x14ac:dyDescent="0.35">
      <c r="B13" s="264" t="s">
        <v>1098</v>
      </c>
      <c r="D13" s="351">
        <v>1.9567113538767062</v>
      </c>
      <c r="E13" s="351"/>
      <c r="F13" s="351"/>
      <c r="G13" s="351">
        <v>6.9449352259785089</v>
      </c>
      <c r="H13" s="351">
        <v>8.9016465798552158</v>
      </c>
    </row>
    <row r="14" spans="1:9" x14ac:dyDescent="0.35">
      <c r="B14" s="264" t="s">
        <v>1074</v>
      </c>
      <c r="D14" s="351"/>
      <c r="E14" s="351"/>
      <c r="F14" s="351"/>
      <c r="G14" s="351">
        <v>16.923817066492312</v>
      </c>
      <c r="H14" s="351">
        <v>16.923817066492312</v>
      </c>
    </row>
    <row r="15" spans="1:9" x14ac:dyDescent="0.35">
      <c r="B15" s="264" t="s">
        <v>1076</v>
      </c>
      <c r="D15" s="351"/>
      <c r="E15" s="351"/>
      <c r="F15" s="351"/>
      <c r="G15" s="351">
        <v>73.110187350766097</v>
      </c>
      <c r="H15" s="351">
        <v>73.110187350766097</v>
      </c>
    </row>
    <row r="16" spans="1:9" x14ac:dyDescent="0.35">
      <c r="B16" s="264" t="s">
        <v>1077</v>
      </c>
      <c r="D16" s="351"/>
      <c r="E16" s="351"/>
      <c r="F16" s="351"/>
      <c r="G16" s="351">
        <v>30.485691544250493</v>
      </c>
      <c r="H16" s="351">
        <v>30.485691544250493</v>
      </c>
    </row>
    <row r="17" spans="1:8" x14ac:dyDescent="0.35">
      <c r="B17" s="264" t="s">
        <v>1414</v>
      </c>
      <c r="D17" s="351"/>
      <c r="E17" s="351"/>
      <c r="F17" s="351"/>
      <c r="G17" s="351">
        <v>13.747580361204843</v>
      </c>
      <c r="H17" s="351">
        <v>13.747580361204843</v>
      </c>
    </row>
    <row r="18" spans="1:8" x14ac:dyDescent="0.35">
      <c r="B18" s="291"/>
      <c r="C18" s="287"/>
      <c r="D18" s="314"/>
      <c r="E18" s="314"/>
      <c r="F18" s="314"/>
      <c r="G18" s="314"/>
      <c r="H18" s="314"/>
    </row>
    <row r="19" spans="1:8" ht="18.5" x14ac:dyDescent="0.45">
      <c r="A19" s="485" t="s">
        <v>1340</v>
      </c>
      <c r="B19" s="96"/>
      <c r="C19" s="96"/>
    </row>
    <row r="20" spans="1:8" x14ac:dyDescent="0.35">
      <c r="A20" t="s">
        <v>160</v>
      </c>
    </row>
    <row r="35" spans="1:6" x14ac:dyDescent="0.35">
      <c r="A35" s="138" t="s">
        <v>984</v>
      </c>
      <c r="F35" s="138" t="s">
        <v>879</v>
      </c>
    </row>
    <row r="36" spans="1:6" x14ac:dyDescent="0.35">
      <c r="B36" t="s">
        <v>878</v>
      </c>
      <c r="F36" s="21">
        <f>H11+H12</f>
        <v>95.135215777504428</v>
      </c>
    </row>
    <row r="37" spans="1:6" x14ac:dyDescent="0.35">
      <c r="B37" t="s">
        <v>832</v>
      </c>
      <c r="F37" s="21">
        <f>H16+H17</f>
        <v>44.233271905455339</v>
      </c>
    </row>
    <row r="38" spans="1:6" x14ac:dyDescent="0.35">
      <c r="B38" t="s">
        <v>869</v>
      </c>
      <c r="F38" s="54">
        <f>H15</f>
        <v>73.110187350766097</v>
      </c>
    </row>
    <row r="39" spans="1:6" x14ac:dyDescent="0.35">
      <c r="E39" t="s">
        <v>83</v>
      </c>
      <c r="F39" s="21">
        <f>SUM(F36:F38)</f>
        <v>212.47867503372586</v>
      </c>
    </row>
    <row r="51" spans="1:9" ht="16.5" customHeight="1" x14ac:dyDescent="0.35"/>
    <row r="52" spans="1:9" ht="16.5" customHeight="1" x14ac:dyDescent="0.35">
      <c r="A52" s="138" t="s">
        <v>1067</v>
      </c>
    </row>
    <row r="62" spans="1:9" x14ac:dyDescent="0.35">
      <c r="A62" s="291"/>
      <c r="F62" s="201" t="s">
        <v>879</v>
      </c>
    </row>
    <row r="63" spans="1:9" ht="16.5" customHeight="1" x14ac:dyDescent="0.35">
      <c r="A63" s="291"/>
      <c r="B63" t="s">
        <v>977</v>
      </c>
      <c r="F63" s="2">
        <f>238+446</f>
        <v>684</v>
      </c>
    </row>
    <row r="64" spans="1:9" ht="16.5" customHeight="1" x14ac:dyDescent="0.35">
      <c r="A64" s="291"/>
      <c r="B64" t="s">
        <v>833</v>
      </c>
      <c r="F64" s="237" t="s">
        <v>976</v>
      </c>
      <c r="I64" s="216"/>
    </row>
    <row r="65" spans="1:9" ht="16.5" customHeight="1" x14ac:dyDescent="0.35">
      <c r="A65" s="291"/>
      <c r="B65" t="s">
        <v>834</v>
      </c>
      <c r="F65" s="2">
        <v>2</v>
      </c>
      <c r="I65" s="216"/>
    </row>
    <row r="66" spans="1:9" ht="16.5" customHeight="1" x14ac:dyDescent="0.35">
      <c r="A66" s="291"/>
      <c r="B66" t="s">
        <v>975</v>
      </c>
      <c r="F66" s="237" t="s">
        <v>976</v>
      </c>
      <c r="I66" s="216"/>
    </row>
    <row r="67" spans="1:9" ht="16.5" customHeight="1" x14ac:dyDescent="0.35">
      <c r="A67" s="291"/>
      <c r="B67" t="s">
        <v>978</v>
      </c>
      <c r="F67" s="51">
        <f>G7</f>
        <v>65.532428213259109</v>
      </c>
      <c r="G67" t="s">
        <v>1415</v>
      </c>
      <c r="I67" s="216"/>
    </row>
    <row r="68" spans="1:9" x14ac:dyDescent="0.35">
      <c r="A68" s="291"/>
      <c r="B68" t="s">
        <v>873</v>
      </c>
      <c r="F68" s="237" t="s">
        <v>976</v>
      </c>
      <c r="I68" s="216"/>
    </row>
    <row r="69" spans="1:9" x14ac:dyDescent="0.35">
      <c r="A69" s="291"/>
      <c r="B69" t="s">
        <v>874</v>
      </c>
      <c r="F69" s="237" t="s">
        <v>976</v>
      </c>
      <c r="I69" s="216"/>
    </row>
    <row r="70" spans="1:9" x14ac:dyDescent="0.35">
      <c r="A70" s="291"/>
      <c r="B70" t="s">
        <v>875</v>
      </c>
      <c r="F70" s="237" t="s">
        <v>976</v>
      </c>
      <c r="I70" s="216"/>
    </row>
    <row r="71" spans="1:9" x14ac:dyDescent="0.35">
      <c r="A71" s="291"/>
      <c r="B71" t="s">
        <v>1066</v>
      </c>
      <c r="F71" s="310">
        <v>17</v>
      </c>
    </row>
    <row r="72" spans="1:9" x14ac:dyDescent="0.35">
      <c r="A72" s="291"/>
      <c r="B72" t="s">
        <v>1024</v>
      </c>
      <c r="F72" s="310">
        <v>9</v>
      </c>
    </row>
    <row r="73" spans="1:9" x14ac:dyDescent="0.35">
      <c r="H73" s="291"/>
    </row>
    <row r="74" spans="1:9" x14ac:dyDescent="0.35">
      <c r="H74" s="291"/>
    </row>
    <row r="75" spans="1:9" x14ac:dyDescent="0.35">
      <c r="H75" s="291"/>
    </row>
    <row r="76" spans="1:9" x14ac:dyDescent="0.35">
      <c r="H76" s="291"/>
    </row>
    <row r="77" spans="1:9" x14ac:dyDescent="0.35">
      <c r="H77" s="291"/>
    </row>
    <row r="78" spans="1:9" x14ac:dyDescent="0.35">
      <c r="H78" s="291"/>
    </row>
    <row r="79" spans="1:9" x14ac:dyDescent="0.35">
      <c r="H79" s="291"/>
    </row>
    <row r="80" spans="1:9" x14ac:dyDescent="0.35">
      <c r="H80" s="291"/>
    </row>
    <row r="81" spans="1:8" x14ac:dyDescent="0.35">
      <c r="H81" s="291"/>
    </row>
    <row r="82" spans="1:8" x14ac:dyDescent="0.35">
      <c r="H82" s="291"/>
    </row>
    <row r="83" spans="1:8" x14ac:dyDescent="0.35">
      <c r="H83" s="291"/>
    </row>
    <row r="84" spans="1:8" x14ac:dyDescent="0.35">
      <c r="H84" s="291"/>
    </row>
    <row r="85" spans="1:8" x14ac:dyDescent="0.35">
      <c r="H85" s="291"/>
    </row>
    <row r="86" spans="1:8" x14ac:dyDescent="0.35">
      <c r="H86" s="291"/>
    </row>
    <row r="87" spans="1:8" x14ac:dyDescent="0.35">
      <c r="H87" s="291"/>
    </row>
    <row r="88" spans="1:8" x14ac:dyDescent="0.35">
      <c r="H88" s="291"/>
    </row>
    <row r="89" spans="1:8" x14ac:dyDescent="0.35">
      <c r="H89" s="291"/>
    </row>
    <row r="90" spans="1:8" x14ac:dyDescent="0.35">
      <c r="H90" s="291"/>
    </row>
    <row r="91" spans="1:8" x14ac:dyDescent="0.35">
      <c r="H91" s="291"/>
    </row>
    <row r="92" spans="1:8" x14ac:dyDescent="0.35">
      <c r="E92" s="4" t="s">
        <v>901</v>
      </c>
      <c r="F92" s="296" t="s">
        <v>880</v>
      </c>
      <c r="H92" s="296" t="s">
        <v>882</v>
      </c>
    </row>
    <row r="93" spans="1:8" x14ac:dyDescent="0.35">
      <c r="A93" s="138"/>
      <c r="B93" t="s">
        <v>980</v>
      </c>
      <c r="E93" s="2" t="s">
        <v>902</v>
      </c>
      <c r="F93" s="297">
        <v>0</v>
      </c>
      <c r="H93" t="s">
        <v>1354</v>
      </c>
    </row>
    <row r="94" spans="1:8" x14ac:dyDescent="0.35">
      <c r="B94" t="s">
        <v>715</v>
      </c>
      <c r="E94" s="2" t="s">
        <v>902</v>
      </c>
      <c r="F94" s="297">
        <v>0</v>
      </c>
      <c r="H94" s="60" t="s">
        <v>881</v>
      </c>
    </row>
    <row r="95" spans="1:8" x14ac:dyDescent="0.35">
      <c r="B95" t="s">
        <v>833</v>
      </c>
      <c r="E95" s="299" t="s">
        <v>903</v>
      </c>
      <c r="F95" s="297">
        <v>0</v>
      </c>
      <c r="G95" t="s">
        <v>1416</v>
      </c>
      <c r="H95" s="60" t="s">
        <v>1351</v>
      </c>
    </row>
    <row r="96" spans="1:8" x14ac:dyDescent="0.35">
      <c r="B96" t="s">
        <v>834</v>
      </c>
      <c r="E96" s="299" t="s">
        <v>1352</v>
      </c>
      <c r="F96" s="297">
        <v>1000</v>
      </c>
      <c r="G96" t="s">
        <v>1416</v>
      </c>
      <c r="H96" s="60" t="s">
        <v>1353</v>
      </c>
    </row>
    <row r="97" spans="2:10" x14ac:dyDescent="0.35">
      <c r="B97" t="s">
        <v>979</v>
      </c>
      <c r="E97" s="299" t="s">
        <v>903</v>
      </c>
      <c r="F97" s="297">
        <v>0</v>
      </c>
      <c r="H97" s="60" t="s">
        <v>981</v>
      </c>
    </row>
    <row r="98" spans="2:10" x14ac:dyDescent="0.35">
      <c r="B98" t="s">
        <v>835</v>
      </c>
      <c r="E98" s="299" t="s">
        <v>903</v>
      </c>
      <c r="F98" s="223">
        <f>65.5*500</f>
        <v>32750</v>
      </c>
      <c r="G98" t="s">
        <v>1416</v>
      </c>
      <c r="H98" s="60" t="s">
        <v>1351</v>
      </c>
    </row>
    <row r="99" spans="2:10" x14ac:dyDescent="0.35">
      <c r="B99" t="s">
        <v>873</v>
      </c>
      <c r="E99" s="299" t="s">
        <v>903</v>
      </c>
      <c r="F99" s="297">
        <v>0</v>
      </c>
      <c r="H99" s="60" t="s">
        <v>1351</v>
      </c>
    </row>
    <row r="100" spans="2:10" x14ac:dyDescent="0.35">
      <c r="B100" t="s">
        <v>982</v>
      </c>
      <c r="E100" s="299" t="s">
        <v>903</v>
      </c>
      <c r="F100" s="297">
        <v>0</v>
      </c>
      <c r="H100" s="60" t="s">
        <v>983</v>
      </c>
    </row>
    <row r="101" spans="2:10" x14ac:dyDescent="0.35">
      <c r="B101" t="s">
        <v>1024</v>
      </c>
      <c r="E101" s="299" t="s">
        <v>1025</v>
      </c>
      <c r="F101" s="297">
        <v>0</v>
      </c>
      <c r="H101" s="60" t="s">
        <v>981</v>
      </c>
      <c r="I101" s="26"/>
    </row>
    <row r="102" spans="2:10" x14ac:dyDescent="0.35">
      <c r="B102" t="s">
        <v>874</v>
      </c>
      <c r="E102" s="299" t="s">
        <v>1025</v>
      </c>
      <c r="F102" s="297">
        <v>0</v>
      </c>
      <c r="H102" s="60" t="s">
        <v>981</v>
      </c>
    </row>
    <row r="103" spans="2:10" x14ac:dyDescent="0.35">
      <c r="B103" t="s">
        <v>875</v>
      </c>
      <c r="E103" s="299" t="s">
        <v>903</v>
      </c>
      <c r="F103" s="298">
        <v>0</v>
      </c>
      <c r="H103" s="60" t="s">
        <v>981</v>
      </c>
    </row>
    <row r="104" spans="2:10" x14ac:dyDescent="0.35">
      <c r="E104" s="2"/>
      <c r="F104" s="223">
        <v>0</v>
      </c>
    </row>
    <row r="107" spans="2:10" x14ac:dyDescent="0.35">
      <c r="J107" s="292"/>
    </row>
    <row r="108" spans="2:10" x14ac:dyDescent="0.35">
      <c r="I108" s="26"/>
      <c r="J108" s="292"/>
    </row>
  </sheetData>
  <pageMargins left="0.7" right="0.7" top="0.75" bottom="0.75" header="0.3" footer="0.3"/>
  <pageSetup orientation="portrait" r:id="rId1"/>
  <ignoredErrors>
    <ignoredError sqref="E103 E95 E97:E100"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499984740745262"/>
  </sheetPr>
  <dimension ref="A1:I348"/>
  <sheetViews>
    <sheetView zoomScale="85" zoomScaleNormal="85" workbookViewId="0">
      <selection activeCell="A5" sqref="A5"/>
    </sheetView>
  </sheetViews>
  <sheetFormatPr defaultRowHeight="14.5" x14ac:dyDescent="0.35"/>
  <cols>
    <col min="1" max="1" width="43" customWidth="1"/>
    <col min="2" max="2" width="24" customWidth="1"/>
    <col min="3" max="3" width="35.7265625" customWidth="1"/>
    <col min="4" max="4" width="24.54296875" customWidth="1"/>
    <col min="5" max="5" width="14.54296875" customWidth="1"/>
    <col min="6" max="6" width="19" customWidth="1"/>
    <col min="7" max="7" width="13.7265625" customWidth="1"/>
    <col min="8" max="8" width="11.1796875" customWidth="1"/>
  </cols>
  <sheetData>
    <row r="1" spans="1:5" x14ac:dyDescent="0.35">
      <c r="A1" s="307" t="s">
        <v>0</v>
      </c>
    </row>
    <row r="2" spans="1:5" x14ac:dyDescent="0.35">
      <c r="A2" s="308" t="s">
        <v>1</v>
      </c>
    </row>
    <row r="3" spans="1:5" x14ac:dyDescent="0.35">
      <c r="A3" s="308" t="s">
        <v>971</v>
      </c>
    </row>
    <row r="4" spans="1:5" x14ac:dyDescent="0.35">
      <c r="A4" s="309" t="s">
        <v>1546</v>
      </c>
    </row>
    <row r="5" spans="1:5" ht="15" thickBot="1" x14ac:dyDescent="0.4"/>
    <row r="6" spans="1:5" x14ac:dyDescent="0.35">
      <c r="A6" s="341" t="s">
        <v>1343</v>
      </c>
      <c r="B6" s="8"/>
      <c r="C6" s="8"/>
      <c r="D6" s="8"/>
      <c r="E6" s="17"/>
    </row>
    <row r="7" spans="1:5" x14ac:dyDescent="0.35">
      <c r="A7" s="276" t="s">
        <v>651</v>
      </c>
      <c r="E7" s="18"/>
    </row>
    <row r="8" spans="1:5" x14ac:dyDescent="0.35">
      <c r="A8" s="11"/>
      <c r="B8" s="60"/>
      <c r="E8" s="288"/>
    </row>
    <row r="9" spans="1:5" x14ac:dyDescent="0.35">
      <c r="A9" s="518" t="s">
        <v>1379</v>
      </c>
      <c r="B9" t="s">
        <v>839</v>
      </c>
      <c r="D9" s="26">
        <f>B139</f>
        <v>4090.2715607049927</v>
      </c>
      <c r="E9" s="288"/>
    </row>
    <row r="10" spans="1:5" x14ac:dyDescent="0.35">
      <c r="A10" s="276"/>
      <c r="B10" s="60" t="s">
        <v>890</v>
      </c>
      <c r="D10" s="26">
        <f>B159</f>
        <v>181764.71280000001</v>
      </c>
      <c r="E10" s="288"/>
    </row>
    <row r="11" spans="1:5" x14ac:dyDescent="0.35">
      <c r="A11" s="276"/>
      <c r="B11" s="60" t="s">
        <v>887</v>
      </c>
      <c r="D11" s="26">
        <f>C192</f>
        <v>1639440</v>
      </c>
      <c r="E11" s="288"/>
    </row>
    <row r="12" spans="1:5" x14ac:dyDescent="0.35">
      <c r="A12" s="276"/>
      <c r="B12" s="60" t="s">
        <v>180</v>
      </c>
      <c r="D12" s="26">
        <f>B269</f>
        <v>706641.21447877109</v>
      </c>
      <c r="E12" s="288"/>
    </row>
    <row r="13" spans="1:5" x14ac:dyDescent="0.35">
      <c r="A13" s="276"/>
      <c r="B13" s="60" t="s">
        <v>231</v>
      </c>
      <c r="D13" s="26">
        <f>B330</f>
        <v>120769.1480983535</v>
      </c>
      <c r="E13" s="288"/>
    </row>
    <row r="14" spans="1:5" x14ac:dyDescent="0.35">
      <c r="A14" s="276"/>
      <c r="B14" s="60" t="s">
        <v>274</v>
      </c>
      <c r="D14" s="97">
        <f>B345</f>
        <v>57501.474611597834</v>
      </c>
      <c r="E14" s="288"/>
    </row>
    <row r="15" spans="1:5" x14ac:dyDescent="0.35">
      <c r="A15" s="276"/>
      <c r="B15" s="60"/>
      <c r="D15" s="26">
        <f>SUM(D9:D14)</f>
        <v>2710206.8215494277</v>
      </c>
      <c r="E15" s="288"/>
    </row>
    <row r="16" spans="1:5" x14ac:dyDescent="0.35">
      <c r="A16" s="276"/>
      <c r="B16" s="60"/>
      <c r="E16" s="288"/>
    </row>
    <row r="17" spans="1:5" x14ac:dyDescent="0.35">
      <c r="A17" s="518" t="s">
        <v>1380</v>
      </c>
      <c r="B17" s="60" t="s">
        <v>1410</v>
      </c>
      <c r="D17" s="26">
        <f>C139</f>
        <v>2305.0809495017975</v>
      </c>
      <c r="E17" s="288"/>
    </row>
    <row r="18" spans="1:5" x14ac:dyDescent="0.35">
      <c r="A18" s="276"/>
      <c r="B18" s="60" t="s">
        <v>274</v>
      </c>
      <c r="D18" s="97">
        <f>C345</f>
        <v>65570.769459046336</v>
      </c>
      <c r="E18" s="288"/>
    </row>
    <row r="19" spans="1:5" x14ac:dyDescent="0.35">
      <c r="A19" s="276"/>
      <c r="B19" s="60"/>
      <c r="D19" s="26">
        <f>SUM(D17:D18)</f>
        <v>67875.85040854814</v>
      </c>
      <c r="E19" s="288"/>
    </row>
    <row r="20" spans="1:5" x14ac:dyDescent="0.35">
      <c r="A20" s="276"/>
      <c r="B20" s="60"/>
      <c r="E20" s="288"/>
    </row>
    <row r="21" spans="1:5" x14ac:dyDescent="0.35">
      <c r="A21" s="518" t="s">
        <v>1381</v>
      </c>
      <c r="B21" s="60" t="s">
        <v>274</v>
      </c>
      <c r="D21" s="26">
        <f>D345</f>
        <v>33961.434681987397</v>
      </c>
      <c r="E21" s="288"/>
    </row>
    <row r="22" spans="1:5" x14ac:dyDescent="0.35">
      <c r="A22" s="518"/>
      <c r="B22" s="60"/>
      <c r="E22" s="288"/>
    </row>
    <row r="23" spans="1:5" x14ac:dyDescent="0.35">
      <c r="A23" s="518" t="s">
        <v>1382</v>
      </c>
      <c r="B23" t="s">
        <v>839</v>
      </c>
      <c r="D23" s="26">
        <f>D139</f>
        <v>201387.75915407308</v>
      </c>
      <c r="E23" s="288"/>
    </row>
    <row r="24" spans="1:5" x14ac:dyDescent="0.35">
      <c r="A24" s="276"/>
      <c r="B24" s="60" t="s">
        <v>180</v>
      </c>
      <c r="D24" s="26">
        <f>C269</f>
        <v>4345543.1952534234</v>
      </c>
      <c r="E24" s="288"/>
    </row>
    <row r="25" spans="1:5" x14ac:dyDescent="0.35">
      <c r="A25" s="276"/>
      <c r="B25" s="60" t="s">
        <v>231</v>
      </c>
      <c r="D25" s="26">
        <f>C330</f>
        <v>659144.89631157462</v>
      </c>
      <c r="E25" s="288"/>
    </row>
    <row r="26" spans="1:5" x14ac:dyDescent="0.35">
      <c r="A26" s="276"/>
      <c r="B26" s="60" t="s">
        <v>274</v>
      </c>
      <c r="D26" s="97">
        <f>E345</f>
        <v>303093.97259959223</v>
      </c>
      <c r="E26" s="288"/>
    </row>
    <row r="27" spans="1:5" x14ac:dyDescent="0.35">
      <c r="A27" s="276"/>
      <c r="B27" s="60"/>
      <c r="D27" s="26">
        <f>SUM(D23:D26)</f>
        <v>5509169.8233186631</v>
      </c>
      <c r="E27" s="288"/>
    </row>
    <row r="28" spans="1:5" x14ac:dyDescent="0.35">
      <c r="A28" s="276"/>
      <c r="B28" s="60"/>
      <c r="E28" s="288"/>
    </row>
    <row r="29" spans="1:5" x14ac:dyDescent="0.35">
      <c r="A29" s="518" t="s">
        <v>1383</v>
      </c>
      <c r="B29" s="60" t="s">
        <v>274</v>
      </c>
      <c r="D29" s="26">
        <f>F345</f>
        <v>21738.841835813753</v>
      </c>
      <c r="E29" s="288"/>
    </row>
    <row r="30" spans="1:5" x14ac:dyDescent="0.35">
      <c r="A30" s="11"/>
      <c r="B30" s="60"/>
      <c r="E30" s="288"/>
    </row>
    <row r="31" spans="1:5" ht="15" customHeight="1" x14ac:dyDescent="0.45">
      <c r="A31" s="278"/>
      <c r="D31" s="26"/>
      <c r="E31" s="18"/>
    </row>
    <row r="32" spans="1:5" ht="15" customHeight="1" x14ac:dyDescent="0.35">
      <c r="B32" s="5" t="s">
        <v>1411</v>
      </c>
      <c r="D32" s="342">
        <f>D15+D19+D21+D27+D29</f>
        <v>8342952.7717944402</v>
      </c>
      <c r="E32" s="18"/>
    </row>
    <row r="33" spans="1:9" s="5" customFormat="1" ht="15" customHeight="1" x14ac:dyDescent="0.45">
      <c r="A33" s="278"/>
      <c r="B33" s="5" t="s">
        <v>1193</v>
      </c>
      <c r="D33" s="387">
        <f>371*500</f>
        <v>185500</v>
      </c>
      <c r="E33" s="488"/>
    </row>
    <row r="34" spans="1:9" ht="19" thickBot="1" x14ac:dyDescent="0.5">
      <c r="A34" s="279"/>
      <c r="B34" s="14"/>
      <c r="C34" s="14"/>
      <c r="D34" s="14"/>
      <c r="E34" s="19"/>
    </row>
    <row r="35" spans="1:9" ht="18.5" x14ac:dyDescent="0.45">
      <c r="A35" s="495"/>
      <c r="E35" s="26"/>
    </row>
    <row r="36" spans="1:9" x14ac:dyDescent="0.35">
      <c r="A36" s="414" t="s">
        <v>1022</v>
      </c>
      <c r="B36" s="60"/>
      <c r="C36" s="60"/>
      <c r="D36" s="60"/>
      <c r="E36" s="60"/>
      <c r="F36" s="149"/>
      <c r="G36" s="60"/>
    </row>
    <row r="37" spans="1:9" x14ac:dyDescent="0.35">
      <c r="A37" s="433" t="s">
        <v>995</v>
      </c>
      <c r="B37" s="434" t="s">
        <v>1196</v>
      </c>
      <c r="C37" s="434" t="s">
        <v>1216</v>
      </c>
      <c r="D37" s="434" t="s">
        <v>1217</v>
      </c>
      <c r="E37" s="434" t="s">
        <v>1197</v>
      </c>
      <c r="F37" s="434" t="s">
        <v>992</v>
      </c>
    </row>
    <row r="38" spans="1:9" x14ac:dyDescent="0.35">
      <c r="A38" s="435" t="s">
        <v>1014</v>
      </c>
      <c r="B38" s="351">
        <v>61.236998734773863</v>
      </c>
      <c r="C38" s="351">
        <v>1.8261016750428829</v>
      </c>
      <c r="D38" s="351">
        <v>0.98616125086442985</v>
      </c>
      <c r="E38" s="351">
        <v>65.532428213259109</v>
      </c>
      <c r="F38" s="351">
        <v>129.58168987394029</v>
      </c>
    </row>
    <row r="39" spans="1:9" s="60" customFormat="1" x14ac:dyDescent="0.35">
      <c r="A39" s="435" t="s">
        <v>1011</v>
      </c>
      <c r="B39" s="436">
        <v>10.658297721013133</v>
      </c>
      <c r="C39" s="436"/>
      <c r="D39" s="436"/>
      <c r="E39" s="436">
        <v>1.6460841051731891</v>
      </c>
      <c r="F39" s="436">
        <v>12.304381826186322</v>
      </c>
    </row>
    <row r="40" spans="1:9" x14ac:dyDescent="0.35">
      <c r="A40" s="435" t="s">
        <v>996</v>
      </c>
      <c r="B40" s="351"/>
      <c r="C40" s="351">
        <v>10.450375018265891</v>
      </c>
      <c r="D40" s="351">
        <v>8.6963604932822598</v>
      </c>
      <c r="E40" s="351"/>
      <c r="F40" s="351">
        <v>19.146735511548151</v>
      </c>
      <c r="H40" s="282"/>
      <c r="I40" s="282"/>
    </row>
    <row r="41" spans="1:9" x14ac:dyDescent="0.35">
      <c r="A41" s="435" t="s">
        <v>1015</v>
      </c>
      <c r="B41" s="351">
        <v>24.56711079448274</v>
      </c>
      <c r="C41" s="351"/>
      <c r="D41" s="351"/>
      <c r="E41" s="351">
        <v>1.6457807298378146</v>
      </c>
      <c r="F41" s="351">
        <v>26.212891524320554</v>
      </c>
    </row>
    <row r="42" spans="1:9" x14ac:dyDescent="0.35">
      <c r="A42" s="435" t="s">
        <v>1001</v>
      </c>
      <c r="B42" s="351">
        <v>22.640956454658266</v>
      </c>
      <c r="C42" s="351"/>
      <c r="D42" s="351"/>
      <c r="E42" s="351">
        <v>10.097144162850691</v>
      </c>
      <c r="F42" s="351">
        <v>32.738100617508955</v>
      </c>
    </row>
    <row r="43" spans="1:9" x14ac:dyDescent="0.35">
      <c r="A43" s="435" t="s">
        <v>987</v>
      </c>
      <c r="B43" s="351">
        <v>154.61274485661033</v>
      </c>
      <c r="C43" s="351">
        <v>18.441861285284695</v>
      </c>
      <c r="D43" s="351">
        <v>23.839570130678105</v>
      </c>
      <c r="E43" s="351">
        <v>262.55096374482514</v>
      </c>
      <c r="F43" s="351">
        <v>459.44514001739827</v>
      </c>
      <c r="H43" s="282"/>
      <c r="I43" s="282"/>
    </row>
    <row r="44" spans="1:9" x14ac:dyDescent="0.35">
      <c r="A44" s="435" t="s">
        <v>1075</v>
      </c>
      <c r="B44" s="351"/>
      <c r="C44" s="351">
        <v>10.781622595519242</v>
      </c>
      <c r="D44" s="351">
        <v>3.710938628356593</v>
      </c>
      <c r="E44" s="351">
        <v>22.416373581118464</v>
      </c>
      <c r="F44" s="351">
        <v>36.908934804994303</v>
      </c>
      <c r="G44" t="s">
        <v>1359</v>
      </c>
      <c r="H44" s="282"/>
      <c r="I44" s="282"/>
    </row>
    <row r="45" spans="1:9" x14ac:dyDescent="0.35">
      <c r="A45" s="435" t="s">
        <v>1360</v>
      </c>
      <c r="B45" s="351">
        <v>343.43349173416652</v>
      </c>
      <c r="C45" s="351">
        <v>33.694668628525513</v>
      </c>
      <c r="D45" s="351">
        <v>162.52272023158162</v>
      </c>
      <c r="E45" s="351"/>
      <c r="F45" s="351">
        <v>539.65088059427364</v>
      </c>
      <c r="H45" s="282"/>
      <c r="I45" s="282"/>
    </row>
    <row r="46" spans="1:9" x14ac:dyDescent="0.35">
      <c r="A46" s="435" t="s">
        <v>988</v>
      </c>
      <c r="B46" s="351"/>
      <c r="C46" s="351"/>
      <c r="D46" s="351"/>
      <c r="E46" s="351">
        <v>2.9348568350466357</v>
      </c>
      <c r="F46" s="351">
        <v>2.9348568350466357</v>
      </c>
    </row>
    <row r="47" spans="1:9" x14ac:dyDescent="0.35">
      <c r="A47" s="435" t="s">
        <v>1002</v>
      </c>
      <c r="B47" s="351"/>
      <c r="C47" s="351"/>
      <c r="D47" s="351"/>
      <c r="E47" s="351">
        <v>1.8158699973593178</v>
      </c>
      <c r="F47" s="351">
        <v>1.8158699973593178</v>
      </c>
    </row>
    <row r="48" spans="1:9" x14ac:dyDescent="0.35">
      <c r="A48" s="435" t="s">
        <v>1355</v>
      </c>
      <c r="B48" s="351">
        <v>0.87203946424398904</v>
      </c>
      <c r="C48" s="351">
        <v>0.11920942867608</v>
      </c>
      <c r="D48" s="351"/>
      <c r="E48" s="351">
        <v>1.053806174469861</v>
      </c>
      <c r="F48" s="351">
        <v>2.0450550673899301</v>
      </c>
      <c r="G48" s="60"/>
    </row>
    <row r="49" spans="1:7" x14ac:dyDescent="0.35">
      <c r="A49" s="60" t="s">
        <v>1372</v>
      </c>
      <c r="B49" s="60"/>
      <c r="C49" s="60"/>
      <c r="D49" s="60"/>
      <c r="E49" s="496"/>
      <c r="F49" s="60"/>
      <c r="G49" s="60"/>
    </row>
    <row r="50" spans="1:7" x14ac:dyDescent="0.35">
      <c r="A50" s="60" t="s">
        <v>1373</v>
      </c>
      <c r="B50" s="60"/>
      <c r="C50" s="60"/>
      <c r="D50" s="60"/>
      <c r="E50" s="60"/>
      <c r="F50" s="60"/>
    </row>
    <row r="51" spans="1:7" x14ac:dyDescent="0.35">
      <c r="A51" t="s">
        <v>1356</v>
      </c>
      <c r="G51" s="222"/>
    </row>
    <row r="52" spans="1:7" x14ac:dyDescent="0.35">
      <c r="A52" s="60"/>
      <c r="B52" s="60"/>
      <c r="C52" s="5" t="s">
        <v>1357</v>
      </c>
      <c r="D52" s="5"/>
      <c r="E52" s="492">
        <f>E38+E41+E42+E43+E44+F48+E46+E47+E39</f>
        <v>370.68455643686025</v>
      </c>
    </row>
    <row r="53" spans="1:7" ht="15.75" customHeight="1" x14ac:dyDescent="0.35">
      <c r="C53" s="48"/>
      <c r="D53" s="48"/>
      <c r="E53" s="497">
        <f>371*500</f>
        <v>185500</v>
      </c>
      <c r="G53" s="60"/>
    </row>
    <row r="54" spans="1:7" ht="18.5" x14ac:dyDescent="0.45">
      <c r="A54" s="485" t="s">
        <v>1374</v>
      </c>
      <c r="B54" s="96"/>
      <c r="C54" s="96"/>
      <c r="D54" s="96"/>
    </row>
    <row r="55" spans="1:7" x14ac:dyDescent="0.35">
      <c r="A55" t="s">
        <v>160</v>
      </c>
    </row>
    <row r="56" spans="1:7" x14ac:dyDescent="0.35">
      <c r="A56" t="s">
        <v>994</v>
      </c>
    </row>
    <row r="57" spans="1:7" x14ac:dyDescent="0.35">
      <c r="A57" t="s">
        <v>904</v>
      </c>
    </row>
    <row r="58" spans="1:7" x14ac:dyDescent="0.35">
      <c r="A58" t="s">
        <v>1362</v>
      </c>
    </row>
    <row r="59" spans="1:7" x14ac:dyDescent="0.35">
      <c r="A59" t="s">
        <v>1358</v>
      </c>
    </row>
    <row r="61" spans="1:7" ht="29" x14ac:dyDescent="0.35">
      <c r="B61" s="3" t="s">
        <v>1361</v>
      </c>
    </row>
    <row r="62" spans="1:7" x14ac:dyDescent="0.35">
      <c r="A62" s="435" t="s">
        <v>1379</v>
      </c>
      <c r="B62" s="351">
        <f>B38+C38+D38+B39</f>
        <v>74.70755938169431</v>
      </c>
    </row>
    <row r="63" spans="1:7" x14ac:dyDescent="0.35">
      <c r="A63" s="435" t="s">
        <v>1380</v>
      </c>
      <c r="B63" s="351">
        <f>C40+D40+B41</f>
        <v>43.713846306030888</v>
      </c>
    </row>
    <row r="64" spans="1:7" x14ac:dyDescent="0.35">
      <c r="A64" s="435" t="s">
        <v>1381</v>
      </c>
      <c r="B64" s="351">
        <f>B42</f>
        <v>22.640956454658266</v>
      </c>
    </row>
    <row r="65" spans="1:4" x14ac:dyDescent="0.35">
      <c r="A65" s="435" t="s">
        <v>1382</v>
      </c>
      <c r="B65" s="351">
        <f>B43+C43+D43</f>
        <v>196.89417627257313</v>
      </c>
    </row>
    <row r="66" spans="1:4" x14ac:dyDescent="0.35">
      <c r="A66" s="435" t="s">
        <v>1383</v>
      </c>
      <c r="B66" s="351">
        <f>C44+D44</f>
        <v>14.492561223875835</v>
      </c>
    </row>
    <row r="68" spans="1:4" x14ac:dyDescent="0.35">
      <c r="A68" s="48" t="s">
        <v>1379</v>
      </c>
    </row>
    <row r="70" spans="1:4" x14ac:dyDescent="0.35">
      <c r="D70" s="20" t="s">
        <v>1366</v>
      </c>
    </row>
    <row r="71" spans="1:4" x14ac:dyDescent="0.35">
      <c r="D71" t="s">
        <v>1389</v>
      </c>
    </row>
    <row r="72" spans="1:4" x14ac:dyDescent="0.35">
      <c r="D72" t="s">
        <v>1391</v>
      </c>
    </row>
    <row r="73" spans="1:4" x14ac:dyDescent="0.35">
      <c r="D73" t="s">
        <v>1392</v>
      </c>
    </row>
    <row r="80" spans="1:4" x14ac:dyDescent="0.35">
      <c r="A80" s="352" t="s">
        <v>1364</v>
      </c>
      <c r="B80" s="356">
        <f>B62</f>
        <v>74.70755938169431</v>
      </c>
    </row>
    <row r="81" spans="1:4" x14ac:dyDescent="0.35">
      <c r="A81" s="352" t="s">
        <v>1365</v>
      </c>
      <c r="B81" s="356">
        <f>B80/2</f>
        <v>37.353779690847155</v>
      </c>
    </row>
    <row r="82" spans="1:4" x14ac:dyDescent="0.35">
      <c r="A82" s="404" t="s">
        <v>1404</v>
      </c>
      <c r="B82" s="351">
        <f>B81/2</f>
        <v>18.676889845423577</v>
      </c>
    </row>
    <row r="83" spans="1:4" x14ac:dyDescent="0.35">
      <c r="A83" s="404" t="s">
        <v>1405</v>
      </c>
      <c r="B83" s="351">
        <f>B82*1.0525</f>
        <v>19.657426562308316</v>
      </c>
    </row>
    <row r="84" spans="1:4" x14ac:dyDescent="0.35">
      <c r="A84" s="498" t="s">
        <v>1387</v>
      </c>
      <c r="B84" s="429">
        <f>B82+B83</f>
        <v>38.33431640773189</v>
      </c>
    </row>
    <row r="86" spans="1:4" x14ac:dyDescent="0.35">
      <c r="A86" s="48" t="s">
        <v>1384</v>
      </c>
    </row>
    <row r="88" spans="1:4" x14ac:dyDescent="0.35">
      <c r="D88" s="20" t="s">
        <v>1366</v>
      </c>
    </row>
    <row r="89" spans="1:4" x14ac:dyDescent="0.35">
      <c r="D89" t="s">
        <v>1390</v>
      </c>
    </row>
    <row r="90" spans="1:4" x14ac:dyDescent="0.35">
      <c r="D90" t="s">
        <v>1392</v>
      </c>
    </row>
    <row r="93" spans="1:4" x14ac:dyDescent="0.35">
      <c r="A93" s="5" t="s">
        <v>1367</v>
      </c>
      <c r="B93" s="236">
        <f>B63</f>
        <v>43.713846306030888</v>
      </c>
    </row>
    <row r="95" spans="1:4" x14ac:dyDescent="0.35">
      <c r="A95" s="48" t="s">
        <v>1381</v>
      </c>
    </row>
    <row r="97" spans="1:4" ht="15.75" customHeight="1" x14ac:dyDescent="0.35">
      <c r="D97" s="20" t="s">
        <v>1366</v>
      </c>
    </row>
    <row r="98" spans="1:4" ht="15.75" customHeight="1" x14ac:dyDescent="0.35">
      <c r="D98" t="s">
        <v>1392</v>
      </c>
    </row>
    <row r="99" spans="1:4" ht="15.75" customHeight="1" x14ac:dyDescent="0.35"/>
    <row r="100" spans="1:4" ht="15.75" customHeight="1" x14ac:dyDescent="0.35"/>
    <row r="101" spans="1:4" ht="15.75" customHeight="1" x14ac:dyDescent="0.35">
      <c r="A101" s="5" t="s">
        <v>1368</v>
      </c>
      <c r="B101" s="236">
        <f>B64</f>
        <v>22.640956454658266</v>
      </c>
    </row>
    <row r="102" spans="1:4" ht="15.75" customHeight="1" x14ac:dyDescent="0.35"/>
    <row r="103" spans="1:4" ht="15.75" customHeight="1" x14ac:dyDescent="0.35">
      <c r="A103" s="48" t="s">
        <v>1388</v>
      </c>
    </row>
    <row r="105" spans="1:4" ht="15.75" customHeight="1" x14ac:dyDescent="0.35">
      <c r="D105" s="20" t="s">
        <v>1366</v>
      </c>
    </row>
    <row r="106" spans="1:4" ht="15.75" customHeight="1" x14ac:dyDescent="0.35">
      <c r="D106" t="s">
        <v>1389</v>
      </c>
    </row>
    <row r="107" spans="1:4" ht="15.75" customHeight="1" x14ac:dyDescent="0.35">
      <c r="D107" t="s">
        <v>1393</v>
      </c>
    </row>
    <row r="108" spans="1:4" ht="15.75" customHeight="1" x14ac:dyDescent="0.35">
      <c r="D108" t="s">
        <v>1392</v>
      </c>
    </row>
    <row r="109" spans="1:4" ht="15.75" customHeight="1" x14ac:dyDescent="0.35"/>
    <row r="110" spans="1:4" ht="15.75" customHeight="1" x14ac:dyDescent="0.35"/>
    <row r="111" spans="1:4" ht="15.75" customHeight="1" x14ac:dyDescent="0.35"/>
    <row r="112" spans="1:4" ht="15.75" customHeight="1" x14ac:dyDescent="0.35"/>
    <row r="113" spans="1:4" ht="15.75" customHeight="1" x14ac:dyDescent="0.35">
      <c r="A113" s="352" t="s">
        <v>1369</v>
      </c>
      <c r="B113" s="356">
        <f>B65</f>
        <v>196.89417627257313</v>
      </c>
    </row>
    <row r="114" spans="1:4" x14ac:dyDescent="0.35">
      <c r="A114" s="404" t="s">
        <v>1370</v>
      </c>
      <c r="B114" s="351">
        <f>B113/2</f>
        <v>98.447088136286567</v>
      </c>
    </row>
    <row r="115" spans="1:4" ht="15.75" customHeight="1" x14ac:dyDescent="0.35">
      <c r="A115" s="404" t="s">
        <v>1371</v>
      </c>
      <c r="B115" s="351">
        <f>B114*1.0525</f>
        <v>103.61556026344161</v>
      </c>
    </row>
    <row r="116" spans="1:4" ht="15.75" customHeight="1" x14ac:dyDescent="0.35">
      <c r="A116" s="498" t="s">
        <v>1394</v>
      </c>
      <c r="B116" s="429">
        <f>B114+B115</f>
        <v>202.06264839972818</v>
      </c>
    </row>
    <row r="117" spans="1:4" ht="15.75" customHeight="1" x14ac:dyDescent="0.35"/>
    <row r="118" spans="1:4" ht="15.75" customHeight="1" x14ac:dyDescent="0.35">
      <c r="A118" s="48" t="s">
        <v>1383</v>
      </c>
    </row>
    <row r="119" spans="1:4" ht="15.75" customHeight="1" x14ac:dyDescent="0.35"/>
    <row r="120" spans="1:4" ht="15.75" customHeight="1" x14ac:dyDescent="0.35">
      <c r="D120" s="20" t="s">
        <v>1366</v>
      </c>
    </row>
    <row r="121" spans="1:4" ht="15.75" customHeight="1" x14ac:dyDescent="0.35">
      <c r="D121" t="s">
        <v>1392</v>
      </c>
    </row>
    <row r="122" spans="1:4" ht="15.75" customHeight="1" x14ac:dyDescent="0.35"/>
    <row r="123" spans="1:4" ht="15.75" customHeight="1" x14ac:dyDescent="0.35"/>
    <row r="124" spans="1:4" ht="15.75" customHeight="1" x14ac:dyDescent="0.35"/>
    <row r="125" spans="1:4" ht="15.75" customHeight="1" x14ac:dyDescent="0.35">
      <c r="A125" s="48" t="s">
        <v>1385</v>
      </c>
      <c r="B125" s="429">
        <f>B66</f>
        <v>14.492561223875835</v>
      </c>
    </row>
    <row r="126" spans="1:4" ht="15.75" customHeight="1" x14ac:dyDescent="0.35"/>
    <row r="127" spans="1:4" ht="15.75" customHeight="1" x14ac:dyDescent="0.35"/>
    <row r="128" spans="1:4" x14ac:dyDescent="0.35">
      <c r="A128" s="44" t="s">
        <v>1396</v>
      </c>
    </row>
    <row r="129" spans="1:4" x14ac:dyDescent="0.35">
      <c r="A129" t="s">
        <v>160</v>
      </c>
    </row>
    <row r="130" spans="1:4" ht="16.5" customHeight="1" x14ac:dyDescent="0.35">
      <c r="A130" t="s">
        <v>840</v>
      </c>
    </row>
    <row r="131" spans="1:4" x14ac:dyDescent="0.35">
      <c r="A131" t="s">
        <v>1397</v>
      </c>
    </row>
    <row r="132" spans="1:4" x14ac:dyDescent="0.35">
      <c r="B132" s="352" t="s">
        <v>517</v>
      </c>
      <c r="C132" s="352" t="s">
        <v>518</v>
      </c>
      <c r="D132" s="352" t="s">
        <v>638</v>
      </c>
    </row>
    <row r="133" spans="1:4" x14ac:dyDescent="0.35">
      <c r="B133" s="352" t="s">
        <v>1363</v>
      </c>
      <c r="C133" s="352" t="s">
        <v>1376</v>
      </c>
      <c r="D133" s="352" t="s">
        <v>987</v>
      </c>
    </row>
    <row r="134" spans="1:4" x14ac:dyDescent="0.35">
      <c r="A134" t="s">
        <v>837</v>
      </c>
      <c r="B134" s="499">
        <f>B84</f>
        <v>38.33431640773189</v>
      </c>
      <c r="C134" s="499">
        <f>B93</f>
        <v>43.713846306030888</v>
      </c>
      <c r="D134" s="499">
        <f>B116</f>
        <v>202.06264839972818</v>
      </c>
    </row>
    <row r="135" spans="1:4" x14ac:dyDescent="0.35">
      <c r="A135" t="s">
        <v>838</v>
      </c>
      <c r="B135" s="352">
        <v>0.5</v>
      </c>
      <c r="C135" s="352">
        <v>0.5</v>
      </c>
      <c r="D135" s="352">
        <v>0.5</v>
      </c>
    </row>
    <row r="136" spans="1:4" x14ac:dyDescent="0.35">
      <c r="A136" t="s">
        <v>736</v>
      </c>
      <c r="B136" s="505">
        <f>B134/B135</f>
        <v>76.668632815463781</v>
      </c>
      <c r="C136" s="505">
        <f>C134/C135</f>
        <v>87.427692612061776</v>
      </c>
      <c r="D136" s="505">
        <f>D134/D135</f>
        <v>404.12529679945635</v>
      </c>
    </row>
    <row r="137" spans="1:4" x14ac:dyDescent="0.35">
      <c r="A137" t="s">
        <v>737</v>
      </c>
      <c r="B137" s="77">
        <f>B136*'Rates 2020'!G11</f>
        <v>4090.2715607049927</v>
      </c>
      <c r="C137" s="77">
        <f>C136*'Rates 2020'!H11</f>
        <v>2305.0809495017975</v>
      </c>
      <c r="D137" s="77">
        <f>D136*'Rates 2020'!J11</f>
        <v>201387.75915407308</v>
      </c>
    </row>
    <row r="139" spans="1:4" s="5" customFormat="1" x14ac:dyDescent="0.35">
      <c r="A139" s="449" t="s">
        <v>1395</v>
      </c>
      <c r="B139" s="383">
        <f>B137</f>
        <v>4090.2715607049927</v>
      </c>
      <c r="C139" s="383">
        <f>C137</f>
        <v>2305.0809495017975</v>
      </c>
      <c r="D139" s="383">
        <f>D137</f>
        <v>201387.75915407308</v>
      </c>
    </row>
    <row r="142" spans="1:4" x14ac:dyDescent="0.35">
      <c r="A142" s="121" t="s">
        <v>159</v>
      </c>
      <c r="B142" s="44"/>
    </row>
    <row r="143" spans="1:4" x14ac:dyDescent="0.35">
      <c r="A143" t="s">
        <v>160</v>
      </c>
    </row>
    <row r="144" spans="1:4" x14ac:dyDescent="0.35">
      <c r="A144" t="s">
        <v>161</v>
      </c>
    </row>
    <row r="145" spans="1:2" x14ac:dyDescent="0.35">
      <c r="A145" t="s">
        <v>162</v>
      </c>
    </row>
    <row r="146" spans="1:2" x14ac:dyDescent="0.35">
      <c r="A146" t="s">
        <v>892</v>
      </c>
    </row>
    <row r="147" spans="1:2" x14ac:dyDescent="0.35">
      <c r="A147" t="s">
        <v>841</v>
      </c>
    </row>
    <row r="148" spans="1:2" x14ac:dyDescent="0.35">
      <c r="A148" t="s">
        <v>163</v>
      </c>
    </row>
    <row r="149" spans="1:2" x14ac:dyDescent="0.35">
      <c r="A149" t="s">
        <v>164</v>
      </c>
    </row>
    <row r="150" spans="1:2" x14ac:dyDescent="0.35">
      <c r="B150" s="352" t="s">
        <v>517</v>
      </c>
    </row>
    <row r="151" spans="1:2" x14ac:dyDescent="0.35">
      <c r="B151" s="352" t="s">
        <v>1363</v>
      </c>
    </row>
    <row r="152" spans="1:2" x14ac:dyDescent="0.35">
      <c r="A152" t="s">
        <v>1401</v>
      </c>
      <c r="B152" s="440">
        <f>9*5280</f>
        <v>47520</v>
      </c>
    </row>
    <row r="153" spans="1:2" x14ac:dyDescent="0.35">
      <c r="A153" t="s">
        <v>166</v>
      </c>
      <c r="B153" s="353">
        <v>100</v>
      </c>
    </row>
    <row r="154" spans="1:2" x14ac:dyDescent="0.35">
      <c r="A154" t="s">
        <v>167</v>
      </c>
      <c r="B154" s="379">
        <f>B152/B153</f>
        <v>475.2</v>
      </c>
    </row>
    <row r="155" spans="1:2" x14ac:dyDescent="0.35">
      <c r="A155" t="s">
        <v>168</v>
      </c>
      <c r="B155" s="390">
        <f>B154*'Rates 2020'!$J$13</f>
        <v>158056.272</v>
      </c>
    </row>
    <row r="156" spans="1:2" x14ac:dyDescent="0.35">
      <c r="A156" t="s">
        <v>169</v>
      </c>
      <c r="B156" s="390">
        <f>+B155*0.15</f>
        <v>23708.4408</v>
      </c>
    </row>
    <row r="157" spans="1:2" x14ac:dyDescent="0.35">
      <c r="A157" t="s">
        <v>170</v>
      </c>
      <c r="B157" s="390">
        <f>SUM(B155:B156)</f>
        <v>181764.71280000001</v>
      </c>
    </row>
    <row r="158" spans="1:2" ht="15.5" x14ac:dyDescent="0.35">
      <c r="A158" s="260"/>
      <c r="B158" s="261"/>
    </row>
    <row r="159" spans="1:2" x14ac:dyDescent="0.35">
      <c r="A159" s="294" t="s">
        <v>1402</v>
      </c>
      <c r="B159" s="386">
        <f>B157</f>
        <v>181764.71280000001</v>
      </c>
    </row>
    <row r="162" spans="1:2" x14ac:dyDescent="0.35">
      <c r="A162" s="121" t="s">
        <v>887</v>
      </c>
      <c r="B162" s="121"/>
    </row>
    <row r="163" spans="1:2" x14ac:dyDescent="0.35">
      <c r="A163" t="s">
        <v>160</v>
      </c>
    </row>
    <row r="164" spans="1:2" x14ac:dyDescent="0.35">
      <c r="A164" t="s">
        <v>1403</v>
      </c>
    </row>
    <row r="165" spans="1:2" x14ac:dyDescent="0.35">
      <c r="A165" t="s">
        <v>891</v>
      </c>
    </row>
    <row r="166" spans="1:2" x14ac:dyDescent="0.35">
      <c r="A166" t="s">
        <v>900</v>
      </c>
    </row>
    <row r="167" spans="1:2" x14ac:dyDescent="0.35">
      <c r="A167" t="s">
        <v>893</v>
      </c>
    </row>
    <row r="168" spans="1:2" x14ac:dyDescent="0.35">
      <c r="A168" t="s">
        <v>894</v>
      </c>
    </row>
    <row r="169" spans="1:2" x14ac:dyDescent="0.35">
      <c r="A169" t="s">
        <v>895</v>
      </c>
    </row>
    <row r="170" spans="1:2" x14ac:dyDescent="0.35">
      <c r="A170" t="s">
        <v>899</v>
      </c>
    </row>
    <row r="171" spans="1:2" x14ac:dyDescent="0.35">
      <c r="A171" t="s">
        <v>896</v>
      </c>
    </row>
    <row r="172" spans="1:2" x14ac:dyDescent="0.35">
      <c r="A172" t="s">
        <v>758</v>
      </c>
    </row>
    <row r="174" spans="1:2" x14ac:dyDescent="0.35">
      <c r="A174" t="s">
        <v>759</v>
      </c>
    </row>
    <row r="175" spans="1:2" x14ac:dyDescent="0.35">
      <c r="A175" t="s">
        <v>760</v>
      </c>
    </row>
    <row r="176" spans="1:2" x14ac:dyDescent="0.35">
      <c r="A176" t="s">
        <v>761</v>
      </c>
    </row>
    <row r="177" spans="1:4" x14ac:dyDescent="0.35">
      <c r="A177" t="s">
        <v>762</v>
      </c>
    </row>
    <row r="178" spans="1:4" x14ac:dyDescent="0.35">
      <c r="A178" t="s">
        <v>888</v>
      </c>
    </row>
    <row r="179" spans="1:4" x14ac:dyDescent="0.35">
      <c r="A179" t="s">
        <v>897</v>
      </c>
    </row>
    <row r="180" spans="1:4" x14ac:dyDescent="0.35">
      <c r="A180" t="s">
        <v>898</v>
      </c>
    </row>
    <row r="181" spans="1:4" x14ac:dyDescent="0.35">
      <c r="A181" t="s">
        <v>766</v>
      </c>
    </row>
    <row r="182" spans="1:4" x14ac:dyDescent="0.35">
      <c r="C182" s="352" t="s">
        <v>517</v>
      </c>
    </row>
    <row r="183" spans="1:4" x14ac:dyDescent="0.35">
      <c r="C183" s="352" t="s">
        <v>1363</v>
      </c>
    </row>
    <row r="184" spans="1:4" x14ac:dyDescent="0.35">
      <c r="A184" t="s">
        <v>767</v>
      </c>
      <c r="C184" s="379">
        <f>9*5280</f>
        <v>47520</v>
      </c>
    </row>
    <row r="185" spans="1:4" x14ac:dyDescent="0.35">
      <c r="A185" t="s">
        <v>768</v>
      </c>
      <c r="C185" s="379">
        <f>C184*0.5</f>
        <v>23760</v>
      </c>
    </row>
    <row r="186" spans="1:4" x14ac:dyDescent="0.35">
      <c r="A186" t="s">
        <v>769</v>
      </c>
      <c r="C186" s="353">
        <v>60</v>
      </c>
    </row>
    <row r="187" spans="1:4" x14ac:dyDescent="0.35">
      <c r="A187" t="s">
        <v>168</v>
      </c>
      <c r="C187" s="479">
        <f>+C185*C186</f>
        <v>1425600</v>
      </c>
    </row>
    <row r="188" spans="1:4" x14ac:dyDescent="0.35">
      <c r="A188" t="s">
        <v>770</v>
      </c>
      <c r="C188" s="479">
        <f>C187*0.15</f>
        <v>213840</v>
      </c>
    </row>
    <row r="189" spans="1:4" x14ac:dyDescent="0.35">
      <c r="A189" t="s">
        <v>170</v>
      </c>
      <c r="C189" s="479">
        <f>SUM(C187:C188)</f>
        <v>1639440</v>
      </c>
    </row>
    <row r="190" spans="1:4" x14ac:dyDescent="0.35">
      <c r="D190" s="26"/>
    </row>
    <row r="191" spans="1:4" x14ac:dyDescent="0.35">
      <c r="D191" s="26"/>
    </row>
    <row r="192" spans="1:4" x14ac:dyDescent="0.35">
      <c r="A192" s="294" t="s">
        <v>889</v>
      </c>
      <c r="B192" s="294"/>
      <c r="C192" s="393">
        <f>C189</f>
        <v>1639440</v>
      </c>
    </row>
    <row r="195" spans="1:3" x14ac:dyDescent="0.35">
      <c r="A195" s="121" t="s">
        <v>180</v>
      </c>
      <c r="B195" s="44"/>
    </row>
    <row r="196" spans="1:3" ht="15.5" x14ac:dyDescent="0.35">
      <c r="A196" t="s">
        <v>160</v>
      </c>
      <c r="B196" s="261"/>
      <c r="C196" s="262"/>
    </row>
    <row r="197" spans="1:3" ht="15.5" x14ac:dyDescent="0.35">
      <c r="A197" t="s">
        <v>1406</v>
      </c>
      <c r="B197" s="261"/>
      <c r="C197" s="262"/>
    </row>
    <row r="198" spans="1:3" ht="15.5" x14ac:dyDescent="0.35">
      <c r="A198" t="s">
        <v>1375</v>
      </c>
      <c r="B198" s="261"/>
    </row>
    <row r="199" spans="1:3" x14ac:dyDescent="0.35">
      <c r="B199" s="352" t="s">
        <v>517</v>
      </c>
      <c r="C199" s="352" t="s">
        <v>638</v>
      </c>
    </row>
    <row r="200" spans="1:3" x14ac:dyDescent="0.35">
      <c r="B200" s="352" t="s">
        <v>1363</v>
      </c>
      <c r="C200" s="352" t="s">
        <v>987</v>
      </c>
    </row>
    <row r="201" spans="1:3" x14ac:dyDescent="0.35">
      <c r="A201" t="s">
        <v>1399</v>
      </c>
      <c r="B201" s="499">
        <f>B84</f>
        <v>38.33431640773189</v>
      </c>
      <c r="C201" s="499">
        <f>B116</f>
        <v>202.06264839972818</v>
      </c>
    </row>
    <row r="202" spans="1:3" x14ac:dyDescent="0.35">
      <c r="A202" t="s">
        <v>1398</v>
      </c>
      <c r="B202" s="352">
        <v>24</v>
      </c>
      <c r="C202" s="352">
        <v>28</v>
      </c>
    </row>
    <row r="203" spans="1:3" x14ac:dyDescent="0.35">
      <c r="A203" t="s">
        <v>1400</v>
      </c>
      <c r="B203" s="500">
        <f>(B201*43560*(B202/12))/27</f>
        <v>123692.06094228158</v>
      </c>
      <c r="C203" s="500">
        <f>(C201*43560*(C202/12))/27</f>
        <v>760653.61419808795</v>
      </c>
    </row>
    <row r="204" spans="1:3" x14ac:dyDescent="0.35">
      <c r="A204" t="s">
        <v>172</v>
      </c>
      <c r="B204" s="507">
        <f>B203*1.15</f>
        <v>142245.8700836238</v>
      </c>
      <c r="C204" s="507">
        <f>C203*1.15</f>
        <v>874751.65632780106</v>
      </c>
    </row>
    <row r="205" spans="1:3" x14ac:dyDescent="0.35">
      <c r="A205" t="s">
        <v>173</v>
      </c>
      <c r="B205" s="354">
        <v>3300</v>
      </c>
      <c r="C205" s="354">
        <v>3300</v>
      </c>
    </row>
    <row r="206" spans="1:3" x14ac:dyDescent="0.35">
      <c r="A206" t="s">
        <v>749</v>
      </c>
      <c r="B206" s="354">
        <f>(B204*B205)/2000</f>
        <v>234705.68563797927</v>
      </c>
      <c r="C206" s="354">
        <f>(C204*C205)/2000</f>
        <v>1443340.2329408717</v>
      </c>
    </row>
    <row r="207" spans="1:3" x14ac:dyDescent="0.35">
      <c r="A207" t="s">
        <v>792</v>
      </c>
      <c r="B207" s="354">
        <v>5000</v>
      </c>
      <c r="C207" s="354">
        <v>5000</v>
      </c>
    </row>
    <row r="209" spans="1:4" x14ac:dyDescent="0.35">
      <c r="A209" s="60" t="s">
        <v>842</v>
      </c>
    </row>
    <row r="210" spans="1:4" x14ac:dyDescent="0.35">
      <c r="A210" s="60" t="s">
        <v>212</v>
      </c>
      <c r="D210" s="70">
        <v>12</v>
      </c>
    </row>
    <row r="211" spans="1:4" x14ac:dyDescent="0.35">
      <c r="A211" s="60" t="s">
        <v>213</v>
      </c>
      <c r="D211" s="70">
        <v>20</v>
      </c>
    </row>
    <row r="212" spans="1:4" x14ac:dyDescent="0.35">
      <c r="A212" s="60"/>
      <c r="D212" s="70"/>
    </row>
    <row r="213" spans="1:4" x14ac:dyDescent="0.35">
      <c r="A213" s="149"/>
      <c r="B213" s="352" t="s">
        <v>517</v>
      </c>
      <c r="C213" s="352" t="s">
        <v>638</v>
      </c>
    </row>
    <row r="214" spans="1:4" x14ac:dyDescent="0.35">
      <c r="A214" s="79" t="s">
        <v>183</v>
      </c>
      <c r="B214" s="501" t="s">
        <v>1363</v>
      </c>
      <c r="C214" s="501" t="s">
        <v>987</v>
      </c>
    </row>
    <row r="215" spans="1:4" x14ac:dyDescent="0.35">
      <c r="A215" t="s">
        <v>184</v>
      </c>
      <c r="B215" s="353">
        <v>2.4500000000000002</v>
      </c>
      <c r="C215" s="353">
        <v>2.4500000000000002</v>
      </c>
    </row>
    <row r="216" spans="1:4" x14ac:dyDescent="0.35">
      <c r="A216" t="s">
        <v>185</v>
      </c>
      <c r="B216" s="360">
        <f>B207/((D210*5280)/60)</f>
        <v>4.7348484848484844</v>
      </c>
      <c r="C216" s="360">
        <f>C207/((D210*5280)/60)</f>
        <v>4.7348484848484844</v>
      </c>
    </row>
    <row r="217" spans="1:4" x14ac:dyDescent="0.35">
      <c r="A217" t="s">
        <v>186</v>
      </c>
      <c r="B217" s="353">
        <v>1.6</v>
      </c>
      <c r="C217" s="353">
        <v>1.6</v>
      </c>
    </row>
    <row r="218" spans="1:4" x14ac:dyDescent="0.35">
      <c r="A218" t="s">
        <v>187</v>
      </c>
      <c r="B218" s="360">
        <f>B207/((D211*5280)/60)</f>
        <v>2.8409090909090908</v>
      </c>
      <c r="C218" s="360">
        <f>C207/((D211*5280)/60)</f>
        <v>2.8409090909090908</v>
      </c>
    </row>
    <row r="219" spans="1:4" x14ac:dyDescent="0.35">
      <c r="A219" t="s">
        <v>188</v>
      </c>
      <c r="B219" s="364">
        <f>SUM(B215:B218)</f>
        <v>11.625757575757575</v>
      </c>
      <c r="C219" s="364">
        <f>SUM(C215:C218)</f>
        <v>11.625757575757575</v>
      </c>
    </row>
    <row r="220" spans="1:4" x14ac:dyDescent="0.35">
      <c r="A220" t="s">
        <v>189</v>
      </c>
      <c r="B220" s="353">
        <v>0</v>
      </c>
      <c r="C220" s="353">
        <v>0</v>
      </c>
    </row>
    <row r="221" spans="1:4" x14ac:dyDescent="0.35">
      <c r="A221" t="s">
        <v>190</v>
      </c>
      <c r="B221" s="353">
        <v>0</v>
      </c>
      <c r="C221" s="353">
        <v>0</v>
      </c>
    </row>
    <row r="222" spans="1:4" x14ac:dyDescent="0.35">
      <c r="A222" t="s">
        <v>192</v>
      </c>
      <c r="B222" s="364">
        <f>SUM(B219:B221)</f>
        <v>11.625757575757575</v>
      </c>
      <c r="C222" s="364">
        <f>SUM(C219:C221)</f>
        <v>11.625757575757575</v>
      </c>
    </row>
    <row r="223" spans="1:4" x14ac:dyDescent="0.35">
      <c r="A223" t="s">
        <v>193</v>
      </c>
      <c r="B223" s="364">
        <f>60/B222</f>
        <v>5.1609539945262615</v>
      </c>
      <c r="C223" s="364">
        <f>60/C222</f>
        <v>5.1609539945262615</v>
      </c>
    </row>
    <row r="224" spans="1:4" x14ac:dyDescent="0.35">
      <c r="A224" s="58" t="s">
        <v>191</v>
      </c>
      <c r="B224" s="503">
        <f>B216+B217+B218</f>
        <v>9.1757575757575758</v>
      </c>
      <c r="C224" s="503">
        <f>C216+C217+C218</f>
        <v>9.1757575757575758</v>
      </c>
    </row>
    <row r="225" spans="1:3" x14ac:dyDescent="0.35">
      <c r="A225" s="73" t="s">
        <v>230</v>
      </c>
      <c r="B225" s="504">
        <f>B224/B215</f>
        <v>3.7452071737786019</v>
      </c>
      <c r="C225" s="504">
        <f>C224/C215</f>
        <v>3.7452071737786019</v>
      </c>
    </row>
    <row r="226" spans="1:3" x14ac:dyDescent="0.35">
      <c r="B226" s="55"/>
    </row>
    <row r="227" spans="1:3" x14ac:dyDescent="0.35">
      <c r="A227" t="s">
        <v>221</v>
      </c>
      <c r="B227" s="366">
        <v>77</v>
      </c>
      <c r="C227" s="366">
        <v>77</v>
      </c>
    </row>
    <row r="228" spans="1:3" x14ac:dyDescent="0.35">
      <c r="A228" t="s">
        <v>224</v>
      </c>
      <c r="B228" s="401">
        <f>B223*B227</f>
        <v>397.39345757852215</v>
      </c>
      <c r="C228" s="401">
        <f>C223*C227</f>
        <v>397.39345757852215</v>
      </c>
    </row>
    <row r="230" spans="1:3" x14ac:dyDescent="0.35">
      <c r="A230" s="56" t="s">
        <v>222</v>
      </c>
      <c r="B230" s="361">
        <f>B227/15</f>
        <v>5.1333333333333337</v>
      </c>
      <c r="C230" s="361">
        <f>C227/15</f>
        <v>5.1333333333333337</v>
      </c>
    </row>
    <row r="231" spans="1:3" x14ac:dyDescent="0.35">
      <c r="A231" t="s">
        <v>194</v>
      </c>
      <c r="B231" s="353">
        <v>0.7</v>
      </c>
      <c r="C231" s="353">
        <v>0.7</v>
      </c>
    </row>
    <row r="232" spans="1:3" x14ac:dyDescent="0.35">
      <c r="A232" t="s">
        <v>195</v>
      </c>
      <c r="B232" s="360">
        <f>B230*B231</f>
        <v>3.5933333333333333</v>
      </c>
      <c r="C232" s="360">
        <f>C230*C231</f>
        <v>3.5933333333333333</v>
      </c>
    </row>
    <row r="233" spans="1:3" x14ac:dyDescent="0.35">
      <c r="A233" t="s">
        <v>196</v>
      </c>
      <c r="B233" s="361">
        <f>B222/B232</f>
        <v>3.2353685275763198</v>
      </c>
      <c r="C233" s="361">
        <f>C222/C232</f>
        <v>3.2353685275763198</v>
      </c>
    </row>
    <row r="235" spans="1:3" x14ac:dyDescent="0.35">
      <c r="A235" t="s">
        <v>197</v>
      </c>
      <c r="B235" s="502">
        <f>(B233*B227)/B222</f>
        <v>21.428571428571431</v>
      </c>
      <c r="C235" s="502">
        <f>(C233*C227)/C222</f>
        <v>21.428571428571431</v>
      </c>
    </row>
    <row r="236" spans="1:3" x14ac:dyDescent="0.35">
      <c r="A236" t="s">
        <v>198</v>
      </c>
      <c r="B236" s="361">
        <f>B235*60</f>
        <v>1285.7142857142858</v>
      </c>
      <c r="C236" s="361">
        <f>C235*60</f>
        <v>1285.7142857142858</v>
      </c>
    </row>
    <row r="237" spans="1:3" x14ac:dyDescent="0.35">
      <c r="A237" t="s">
        <v>199</v>
      </c>
      <c r="B237" s="364">
        <v>0.83</v>
      </c>
      <c r="C237" s="364">
        <v>0.83</v>
      </c>
    </row>
    <row r="238" spans="1:3" x14ac:dyDescent="0.35">
      <c r="A238" t="s">
        <v>200</v>
      </c>
      <c r="B238" s="353">
        <v>0.9</v>
      </c>
      <c r="C238" s="353">
        <v>0.9</v>
      </c>
    </row>
    <row r="239" spans="1:3" x14ac:dyDescent="0.35">
      <c r="A239" t="s">
        <v>201</v>
      </c>
      <c r="B239" s="361">
        <f>B236*B237*B238</f>
        <v>960.42857142857144</v>
      </c>
      <c r="C239" s="361">
        <f>C236*C237*C238</f>
        <v>960.42857142857144</v>
      </c>
    </row>
    <row r="240" spans="1:3" x14ac:dyDescent="0.35">
      <c r="A240" t="s">
        <v>202</v>
      </c>
      <c r="B240" s="506">
        <f>B204/B239</f>
        <v>148.10666229144229</v>
      </c>
      <c r="C240" s="506">
        <f>C204/C239</f>
        <v>910.79303797331659</v>
      </c>
    </row>
    <row r="241" spans="1:8" ht="15.5" x14ac:dyDescent="0.35">
      <c r="A241" s="260"/>
      <c r="B241" s="261"/>
      <c r="C241" s="262"/>
    </row>
    <row r="242" spans="1:8" ht="15.5" x14ac:dyDescent="0.35">
      <c r="A242" s="352" t="s">
        <v>517</v>
      </c>
      <c r="B242" s="501" t="s">
        <v>1363</v>
      </c>
      <c r="C242" s="262"/>
    </row>
    <row r="243" spans="1:8" x14ac:dyDescent="0.35">
      <c r="B243" s="352" t="s">
        <v>203</v>
      </c>
      <c r="C243" s="352" t="s">
        <v>92</v>
      </c>
      <c r="D243" s="369" t="s">
        <v>214</v>
      </c>
      <c r="E243" s="370" t="s">
        <v>204</v>
      </c>
      <c r="F243" s="355" t="s">
        <v>170</v>
      </c>
      <c r="G243" s="352" t="s">
        <v>205</v>
      </c>
      <c r="H243" s="352" t="s">
        <v>206</v>
      </c>
    </row>
    <row r="244" spans="1:8" x14ac:dyDescent="0.35">
      <c r="A244" t="s">
        <v>207</v>
      </c>
      <c r="B244" s="369">
        <v>1</v>
      </c>
      <c r="C244" s="352" t="s">
        <v>216</v>
      </c>
      <c r="D244" s="369">
        <f>'Rates 2020'!$J$27</f>
        <v>629.72</v>
      </c>
      <c r="E244" s="369">
        <f>$B$240*B244</f>
        <v>148.10666229144229</v>
      </c>
      <c r="F244" s="376">
        <f>D244*E244</f>
        <v>93265.727378167037</v>
      </c>
      <c r="G244" s="371">
        <f>F244/$B$206</f>
        <v>0.39737310634231648</v>
      </c>
      <c r="H244" s="355">
        <f>F244/$B$204</f>
        <v>0.65566562546482221</v>
      </c>
    </row>
    <row r="245" spans="1:8" x14ac:dyDescent="0.35">
      <c r="A245" t="s">
        <v>208</v>
      </c>
      <c r="B245" s="369">
        <f>B233</f>
        <v>3.2353685275763198</v>
      </c>
      <c r="C245" s="369" t="s">
        <v>217</v>
      </c>
      <c r="D245" s="369">
        <f>'Rates 2020'!$J$66</f>
        <v>468.39</v>
      </c>
      <c r="E245" s="369">
        <f>$B$240*B245</f>
        <v>479.1796339021069</v>
      </c>
      <c r="F245" s="376">
        <f>D245*E245</f>
        <v>224442.94872340784</v>
      </c>
      <c r="G245" s="371">
        <f>F245/$B$206</f>
        <v>0.95627401659795686</v>
      </c>
      <c r="H245" s="355">
        <f>F245/$B$204</f>
        <v>1.5778521273866288</v>
      </c>
    </row>
    <row r="246" spans="1:8" x14ac:dyDescent="0.35">
      <c r="A246" t="s">
        <v>209</v>
      </c>
      <c r="B246" s="372">
        <v>1</v>
      </c>
      <c r="C246" s="369" t="s">
        <v>218</v>
      </c>
      <c r="D246" s="373">
        <f>'Rates 2020'!$J$51</f>
        <v>194.65</v>
      </c>
      <c r="E246" s="369">
        <f>$B$240*B246</f>
        <v>148.10666229144229</v>
      </c>
      <c r="F246" s="376">
        <f>D246*E246</f>
        <v>28828.961815029244</v>
      </c>
      <c r="G246" s="371">
        <f>F246/$B$206</f>
        <v>0.12283026606989124</v>
      </c>
      <c r="H246" s="355">
        <f>F246/$B$204</f>
        <v>0.20266993901532054</v>
      </c>
    </row>
    <row r="247" spans="1:8" x14ac:dyDescent="0.35">
      <c r="A247" t="s">
        <v>210</v>
      </c>
      <c r="B247" s="372">
        <v>1</v>
      </c>
      <c r="C247" s="369" t="s">
        <v>98</v>
      </c>
      <c r="D247" s="373">
        <f>'Rates 2020'!$J$13</f>
        <v>332.61</v>
      </c>
      <c r="E247" s="369">
        <f>$B$240*B247</f>
        <v>148.10666229144229</v>
      </c>
      <c r="F247" s="376">
        <f>D247*E247</f>
        <v>49261.75694475662</v>
      </c>
      <c r="G247" s="371">
        <f>F247/$B$206</f>
        <v>0.20988736089137694</v>
      </c>
      <c r="H247" s="355">
        <f>F247/$B$204</f>
        <v>0.34631414547077194</v>
      </c>
    </row>
    <row r="248" spans="1:8" x14ac:dyDescent="0.35">
      <c r="A248" t="s">
        <v>210</v>
      </c>
      <c r="B248" s="369">
        <v>1</v>
      </c>
      <c r="C248" s="370" t="s">
        <v>219</v>
      </c>
      <c r="D248" s="373">
        <f>'Rates 2020'!$J$56</f>
        <v>105.45</v>
      </c>
      <c r="E248" s="369">
        <f>$B$240*B248</f>
        <v>148.10666229144229</v>
      </c>
      <c r="F248" s="376">
        <f>D248*E248</f>
        <v>15617.84753863259</v>
      </c>
      <c r="G248" s="371">
        <f>F248/$B$206</f>
        <v>6.6542263329411919E-2</v>
      </c>
      <c r="H248" s="355">
        <f>F248/$B$204</f>
        <v>0.10979473449352967</v>
      </c>
    </row>
    <row r="249" spans="1:8" x14ac:dyDescent="0.35">
      <c r="A249" t="s">
        <v>220</v>
      </c>
      <c r="B249" s="63">
        <f>SUM(B244:B248)</f>
        <v>7.2353685275763198</v>
      </c>
      <c r="C249" s="63"/>
      <c r="D249" s="2"/>
      <c r="E249" s="63">
        <f>SUM(E244:E248)</f>
        <v>1071.6062830678761</v>
      </c>
      <c r="F249" s="385">
        <f>SUM(F244:F248)</f>
        <v>411417.24239999335</v>
      </c>
      <c r="G249" s="71">
        <f>SUM(G244:G248)</f>
        <v>1.7529070132309534</v>
      </c>
      <c r="H249" s="65">
        <f>SUM(H244:H248)</f>
        <v>2.8922965718310727</v>
      </c>
    </row>
    <row r="250" spans="1:8" ht="15.5" x14ac:dyDescent="0.35">
      <c r="A250" s="260"/>
      <c r="B250" s="261"/>
      <c r="C250" s="262"/>
    </row>
    <row r="251" spans="1:8" ht="15.5" x14ac:dyDescent="0.35">
      <c r="A251" s="352" t="s">
        <v>638</v>
      </c>
      <c r="B251" s="501" t="s">
        <v>1407</v>
      </c>
      <c r="C251" s="262"/>
    </row>
    <row r="252" spans="1:8" x14ac:dyDescent="0.35">
      <c r="B252" s="352" t="s">
        <v>203</v>
      </c>
      <c r="C252" s="352" t="s">
        <v>92</v>
      </c>
      <c r="D252" s="369" t="s">
        <v>214</v>
      </c>
      <c r="E252" s="370" t="s">
        <v>204</v>
      </c>
      <c r="F252" s="355" t="s">
        <v>170</v>
      </c>
      <c r="G252" s="352" t="s">
        <v>205</v>
      </c>
      <c r="H252" s="352" t="s">
        <v>206</v>
      </c>
    </row>
    <row r="253" spans="1:8" x14ac:dyDescent="0.35">
      <c r="A253" t="s">
        <v>207</v>
      </c>
      <c r="B253" s="369">
        <v>1</v>
      </c>
      <c r="C253" s="352" t="s">
        <v>216</v>
      </c>
      <c r="D253" s="369">
        <f>'Rates 2020'!$J$27</f>
        <v>629.72</v>
      </c>
      <c r="E253" s="369">
        <f>$C$240*B253</f>
        <v>910.79303797331659</v>
      </c>
      <c r="F253" s="376">
        <f>D253*E253</f>
        <v>573544.59187255695</v>
      </c>
      <c r="G253" s="371">
        <f>F253/$B$206</f>
        <v>2.4436757478351772</v>
      </c>
      <c r="H253" s="355">
        <f>F253/$B$204</f>
        <v>4.0320649839280422</v>
      </c>
    </row>
    <row r="254" spans="1:8" x14ac:dyDescent="0.35">
      <c r="A254" t="s">
        <v>208</v>
      </c>
      <c r="B254" s="369">
        <f>C233</f>
        <v>3.2353685275763198</v>
      </c>
      <c r="C254" s="369" t="s">
        <v>217</v>
      </c>
      <c r="D254" s="369">
        <f>'Rates 2020'!$J$66</f>
        <v>468.39</v>
      </c>
      <c r="E254" s="369">
        <f>$C$240*B254</f>
        <v>2946.7511301944924</v>
      </c>
      <c r="F254" s="376">
        <f>D254*E254</f>
        <v>1380228.7618717982</v>
      </c>
      <c r="G254" s="371">
        <f>F254/$B$206</f>
        <v>5.8806788515584829</v>
      </c>
      <c r="H254" s="355">
        <f>F254/$B$204</f>
        <v>9.7031201050714966</v>
      </c>
    </row>
    <row r="255" spans="1:8" x14ac:dyDescent="0.35">
      <c r="A255" t="s">
        <v>209</v>
      </c>
      <c r="B255" s="372">
        <v>1</v>
      </c>
      <c r="C255" s="369" t="s">
        <v>218</v>
      </c>
      <c r="D255" s="373">
        <f>'Rates 2020'!$J$51</f>
        <v>194.65</v>
      </c>
      <c r="E255" s="369">
        <f>$C$240*B255</f>
        <v>910.79303797331659</v>
      </c>
      <c r="F255" s="376">
        <f>D255*E255</f>
        <v>177285.86484150609</v>
      </c>
      <c r="G255" s="371">
        <f>F255/$B$206</f>
        <v>0.75535394193628469</v>
      </c>
      <c r="H255" s="355">
        <f>F255/$B$204</f>
        <v>1.2463340041948698</v>
      </c>
    </row>
    <row r="256" spans="1:8" x14ac:dyDescent="0.35">
      <c r="A256" t="s">
        <v>210</v>
      </c>
      <c r="B256" s="372">
        <v>1</v>
      </c>
      <c r="C256" s="369" t="s">
        <v>98</v>
      </c>
      <c r="D256" s="373">
        <f>'Rates 2020'!$J$13</f>
        <v>332.61</v>
      </c>
      <c r="E256" s="369">
        <f>$C$240*B256</f>
        <v>910.79303797331659</v>
      </c>
      <c r="F256" s="376">
        <f>D256*E256</f>
        <v>302938.87236030487</v>
      </c>
      <c r="G256" s="371">
        <f>F256/$B$206</f>
        <v>1.2907180818259834</v>
      </c>
      <c r="H256" s="355">
        <f>F256/$B$204</f>
        <v>2.1296848350128728</v>
      </c>
    </row>
    <row r="257" spans="1:8" x14ac:dyDescent="0.35">
      <c r="A257" t="s">
        <v>210</v>
      </c>
      <c r="B257" s="369">
        <v>1</v>
      </c>
      <c r="C257" s="370" t="s">
        <v>219</v>
      </c>
      <c r="D257" s="373">
        <f>'Rates 2020'!$J$56</f>
        <v>105.45</v>
      </c>
      <c r="E257" s="369">
        <f>$C$240*B257</f>
        <v>910.79303797331659</v>
      </c>
      <c r="F257" s="376">
        <f>D257*E257</f>
        <v>96043.125854286234</v>
      </c>
      <c r="G257" s="371">
        <f>F257/$B$206</f>
        <v>0.40920664360226672</v>
      </c>
      <c r="H257" s="355">
        <f>F257/$B$204</f>
        <v>0.67519096194374006</v>
      </c>
    </row>
    <row r="258" spans="1:8" x14ac:dyDescent="0.35">
      <c r="A258" t="s">
        <v>220</v>
      </c>
      <c r="B258" s="63">
        <f>SUM(B253:B257)</f>
        <v>7.2353685275763198</v>
      </c>
      <c r="C258" s="63"/>
      <c r="D258" s="2"/>
      <c r="E258" s="63">
        <f>SUM(E253:E257)</f>
        <v>6589.9232820877587</v>
      </c>
      <c r="F258" s="385">
        <f>SUM(F253:F257)</f>
        <v>2530041.2168004522</v>
      </c>
      <c r="G258" s="71">
        <f>SUM(G253:G257)</f>
        <v>10.779633266758195</v>
      </c>
      <c r="H258" s="65">
        <f>SUM(H253:H257)</f>
        <v>17.786394890151023</v>
      </c>
    </row>
    <row r="260" spans="1:8" x14ac:dyDescent="0.35">
      <c r="B260" s="352" t="s">
        <v>517</v>
      </c>
      <c r="C260" s="352" t="s">
        <v>638</v>
      </c>
    </row>
    <row r="261" spans="1:8" x14ac:dyDescent="0.35">
      <c r="A261" s="79" t="s">
        <v>225</v>
      </c>
      <c r="B261" s="501" t="s">
        <v>1363</v>
      </c>
      <c r="C261" s="501" t="s">
        <v>987</v>
      </c>
    </row>
    <row r="262" spans="1:8" x14ac:dyDescent="0.35">
      <c r="A262" t="s">
        <v>226</v>
      </c>
      <c r="B262" s="354">
        <f>B240</f>
        <v>148.10666229144229</v>
      </c>
      <c r="C262" s="354">
        <f>C240</f>
        <v>910.79303797331659</v>
      </c>
    </row>
    <row r="263" spans="1:8" x14ac:dyDescent="0.35">
      <c r="A263" t="s">
        <v>167</v>
      </c>
      <c r="B263" s="354">
        <f>B262*2</f>
        <v>296.21332458288458</v>
      </c>
      <c r="C263" s="354">
        <f>C262*2</f>
        <v>1821.5860759466332</v>
      </c>
    </row>
    <row r="264" spans="1:8" x14ac:dyDescent="0.35">
      <c r="A264" t="s">
        <v>1408</v>
      </c>
      <c r="B264" s="376">
        <f>B263*'Rates 2020'!$J$11*2</f>
        <v>295223.97207877773</v>
      </c>
      <c r="C264" s="376">
        <f>C263*'Rates 2020'!$J$11*2</f>
        <v>1815501.9784529714</v>
      </c>
    </row>
    <row r="265" spans="1:8" x14ac:dyDescent="0.35">
      <c r="A265" s="25" t="s">
        <v>83</v>
      </c>
      <c r="B265" s="77">
        <f>B264</f>
        <v>295223.97207877773</v>
      </c>
      <c r="C265" s="77">
        <f>C264</f>
        <v>1815501.9784529714</v>
      </c>
    </row>
    <row r="267" spans="1:8" x14ac:dyDescent="0.35">
      <c r="B267" s="352" t="s">
        <v>517</v>
      </c>
      <c r="C267" s="352" t="s">
        <v>638</v>
      </c>
    </row>
    <row r="268" spans="1:8" x14ac:dyDescent="0.35">
      <c r="B268" s="501" t="s">
        <v>1363</v>
      </c>
      <c r="C268" s="501" t="s">
        <v>987</v>
      </c>
    </row>
    <row r="269" spans="1:8" x14ac:dyDescent="0.35">
      <c r="A269" s="294" t="s">
        <v>229</v>
      </c>
      <c r="B269" s="386">
        <f>B265+F249</f>
        <v>706641.21447877109</v>
      </c>
      <c r="C269" s="386">
        <f>C265+F258</f>
        <v>4345543.1952534234</v>
      </c>
    </row>
    <row r="272" spans="1:8" x14ac:dyDescent="0.35">
      <c r="A272" s="121" t="s">
        <v>231</v>
      </c>
      <c r="B272" s="121"/>
      <c r="D272" s="275"/>
    </row>
    <row r="273" spans="1:6" x14ac:dyDescent="0.35">
      <c r="A273" t="s">
        <v>160</v>
      </c>
    </row>
    <row r="274" spans="1:6" x14ac:dyDescent="0.35">
      <c r="A274" t="s">
        <v>232</v>
      </c>
    </row>
    <row r="275" spans="1:6" x14ac:dyDescent="0.35">
      <c r="A275" t="s">
        <v>233</v>
      </c>
    </row>
    <row r="276" spans="1:6" x14ac:dyDescent="0.35">
      <c r="A276" t="s">
        <v>793</v>
      </c>
    </row>
    <row r="277" spans="1:6" x14ac:dyDescent="0.35">
      <c r="A277" t="s">
        <v>843</v>
      </c>
      <c r="C277" s="60"/>
    </row>
    <row r="278" spans="1:6" x14ac:dyDescent="0.35">
      <c r="A278" t="s">
        <v>795</v>
      </c>
      <c r="C278" s="60"/>
    </row>
    <row r="279" spans="1:6" x14ac:dyDescent="0.35">
      <c r="A279" t="s">
        <v>234</v>
      </c>
    </row>
    <row r="280" spans="1:6" s="508" customFormat="1" x14ac:dyDescent="0.35"/>
    <row r="281" spans="1:6" x14ac:dyDescent="0.35">
      <c r="B281" s="352" t="s">
        <v>517</v>
      </c>
      <c r="C281" s="352" t="s">
        <v>638</v>
      </c>
      <c r="D281" s="2"/>
    </row>
    <row r="282" spans="1:6" x14ac:dyDescent="0.35">
      <c r="B282" s="501" t="s">
        <v>1363</v>
      </c>
      <c r="C282" s="501" t="s">
        <v>987</v>
      </c>
      <c r="D282" s="2"/>
    </row>
    <row r="283" spans="1:6" x14ac:dyDescent="0.35">
      <c r="A283" s="88" t="s">
        <v>235</v>
      </c>
      <c r="B283" s="415" t="s">
        <v>1159</v>
      </c>
      <c r="C283" s="415" t="s">
        <v>1159</v>
      </c>
      <c r="D283" s="415" t="s">
        <v>237</v>
      </c>
      <c r="E283" s="415" t="s">
        <v>238</v>
      </c>
      <c r="F283" s="415" t="s">
        <v>239</v>
      </c>
    </row>
    <row r="284" spans="1:6" x14ac:dyDescent="0.35">
      <c r="A284" s="86" t="s">
        <v>241</v>
      </c>
      <c r="B284" s="509">
        <f>$B$204</f>
        <v>142245.8700836238</v>
      </c>
      <c r="C284" s="509">
        <f>$C$204</f>
        <v>874751.65632780106</v>
      </c>
      <c r="D284" s="510">
        <v>2500</v>
      </c>
      <c r="E284" s="352">
        <v>0</v>
      </c>
      <c r="F284" s="352" t="s">
        <v>242</v>
      </c>
    </row>
    <row r="285" spans="1:6" x14ac:dyDescent="0.35">
      <c r="A285" s="86" t="s">
        <v>243</v>
      </c>
      <c r="B285" s="509">
        <f>$B$204</f>
        <v>142245.8700836238</v>
      </c>
      <c r="C285" s="509">
        <f>$C$204</f>
        <v>874751.65632780106</v>
      </c>
      <c r="D285" s="510">
        <v>30000</v>
      </c>
      <c r="E285" s="352">
        <f>200+25</f>
        <v>225</v>
      </c>
      <c r="F285" s="352">
        <v>10</v>
      </c>
    </row>
    <row r="286" spans="1:6" x14ac:dyDescent="0.35">
      <c r="A286" s="86" t="s">
        <v>244</v>
      </c>
      <c r="B286" s="509">
        <f>$B$204</f>
        <v>142245.8700836238</v>
      </c>
      <c r="C286" s="509">
        <f>$C$204</f>
        <v>874751.65632780106</v>
      </c>
      <c r="D286" s="510">
        <v>10000</v>
      </c>
      <c r="E286" s="352">
        <v>45</v>
      </c>
      <c r="F286" s="352">
        <v>10</v>
      </c>
    </row>
    <row r="287" spans="1:6" x14ac:dyDescent="0.35">
      <c r="A287" s="87" t="s">
        <v>245</v>
      </c>
      <c r="B287" s="509">
        <f>$B$204</f>
        <v>142245.8700836238</v>
      </c>
      <c r="C287" s="509">
        <f>$C$204</f>
        <v>874751.65632780106</v>
      </c>
      <c r="D287" s="510">
        <v>2500</v>
      </c>
      <c r="E287" s="352">
        <v>15</v>
      </c>
      <c r="F287" s="352">
        <v>10</v>
      </c>
    </row>
    <row r="288" spans="1:6" x14ac:dyDescent="0.35">
      <c r="A288" s="25" t="s">
        <v>1114</v>
      </c>
      <c r="B288" s="511">
        <f>((B285/D285)*(E285+F285))+((B286/D286)*(E286+F286))+((B287/D287)*(E287+F287))</f>
        <v>3319.0703019512221</v>
      </c>
      <c r="C288" s="511">
        <f>((C285/D285)*(E285+F285))+((C286/D286)*(E286+F286))+((C287/D287)*(E287+F287))</f>
        <v>20410.871980982025</v>
      </c>
      <c r="D288" s="511"/>
      <c r="F288" s="240"/>
    </row>
    <row r="290" spans="1:3" x14ac:dyDescent="0.35">
      <c r="A290" t="s">
        <v>246</v>
      </c>
    </row>
    <row r="291" spans="1:3" x14ac:dyDescent="0.35">
      <c r="A291" t="s">
        <v>247</v>
      </c>
    </row>
    <row r="292" spans="1:3" x14ac:dyDescent="0.35">
      <c r="A292" s="93" t="s">
        <v>681</v>
      </c>
    </row>
    <row r="293" spans="1:3" x14ac:dyDescent="0.35">
      <c r="A293" s="93" t="s">
        <v>248</v>
      </c>
    </row>
    <row r="295" spans="1:3" x14ac:dyDescent="0.35">
      <c r="B295" s="352" t="s">
        <v>517</v>
      </c>
      <c r="C295" s="352" t="s">
        <v>638</v>
      </c>
    </row>
    <row r="296" spans="1:3" x14ac:dyDescent="0.35">
      <c r="A296" t="s">
        <v>249</v>
      </c>
      <c r="B296" s="352" t="s">
        <v>1363</v>
      </c>
      <c r="C296" s="352" t="s">
        <v>987</v>
      </c>
    </row>
    <row r="297" spans="1:3" x14ac:dyDescent="0.35">
      <c r="A297" t="s">
        <v>250</v>
      </c>
      <c r="B297" s="360">
        <f>B84</f>
        <v>38.33431640773189</v>
      </c>
      <c r="C297" s="360">
        <f>B116</f>
        <v>202.06264839972818</v>
      </c>
    </row>
    <row r="298" spans="1:3" x14ac:dyDescent="0.35">
      <c r="A298" t="s">
        <v>251</v>
      </c>
      <c r="B298" s="353">
        <v>1000</v>
      </c>
      <c r="C298" s="353">
        <v>1000</v>
      </c>
    </row>
    <row r="299" spans="1:3" x14ac:dyDescent="0.35">
      <c r="A299" t="s">
        <v>252</v>
      </c>
      <c r="B299" s="388">
        <v>25</v>
      </c>
      <c r="C299" s="388">
        <v>25</v>
      </c>
    </row>
    <row r="300" spans="1:3" x14ac:dyDescent="0.35">
      <c r="A300" t="s">
        <v>253</v>
      </c>
      <c r="B300" s="512">
        <f>((B297*23*2000)/B298)*B299</f>
        <v>44084.463868891675</v>
      </c>
      <c r="C300" s="512">
        <f>((C297*23*2000)/C298)*C299</f>
        <v>232372.0456596874</v>
      </c>
    </row>
    <row r="302" spans="1:3" x14ac:dyDescent="0.35">
      <c r="A302" t="s">
        <v>1183</v>
      </c>
    </row>
    <row r="303" spans="1:3" x14ac:dyDescent="0.35">
      <c r="A303" t="s">
        <v>272</v>
      </c>
    </row>
    <row r="304" spans="1:3" x14ac:dyDescent="0.35">
      <c r="A304" t="s">
        <v>254</v>
      </c>
    </row>
    <row r="305" spans="1:3" x14ac:dyDescent="0.35">
      <c r="A305" t="s">
        <v>255</v>
      </c>
    </row>
    <row r="306" spans="1:3" x14ac:dyDescent="0.35">
      <c r="A306" t="s">
        <v>256</v>
      </c>
    </row>
    <row r="308" spans="1:3" x14ac:dyDescent="0.35">
      <c r="A308" t="s">
        <v>257</v>
      </c>
    </row>
    <row r="309" spans="1:3" x14ac:dyDescent="0.35">
      <c r="A309" t="s">
        <v>258</v>
      </c>
      <c r="B309" s="353">
        <v>150</v>
      </c>
      <c r="C309" s="353">
        <v>150</v>
      </c>
    </row>
    <row r="310" spans="1:3" x14ac:dyDescent="0.35">
      <c r="A310" t="s">
        <v>259</v>
      </c>
      <c r="B310" s="513">
        <f>B240</f>
        <v>148.10666229144229</v>
      </c>
      <c r="C310" s="513">
        <f>C240</f>
        <v>910.79303797331659</v>
      </c>
    </row>
    <row r="311" spans="1:3" x14ac:dyDescent="0.35">
      <c r="A311" t="s">
        <v>260</v>
      </c>
      <c r="B311" s="514">
        <f>B309*B310</f>
        <v>22215.999343716343</v>
      </c>
      <c r="C311" s="514">
        <f>C309*C310</f>
        <v>136618.95569599749</v>
      </c>
    </row>
    <row r="312" spans="1:3" ht="15.5" x14ac:dyDescent="0.35">
      <c r="A312" s="260"/>
      <c r="B312" s="262"/>
    </row>
    <row r="313" spans="1:3" x14ac:dyDescent="0.35">
      <c r="A313" t="s">
        <v>261</v>
      </c>
    </row>
    <row r="314" spans="1:3" x14ac:dyDescent="0.35">
      <c r="A314" t="s">
        <v>262</v>
      </c>
      <c r="B314" s="353">
        <v>200</v>
      </c>
      <c r="C314" s="353">
        <v>200</v>
      </c>
    </row>
    <row r="315" spans="1:3" x14ac:dyDescent="0.35">
      <c r="A315" t="s">
        <v>263</v>
      </c>
      <c r="B315" s="515">
        <f>B240/200</f>
        <v>0.74053331145721146</v>
      </c>
      <c r="C315" s="515">
        <f>C240/200</f>
        <v>4.5539651898665827</v>
      </c>
    </row>
    <row r="316" spans="1:3" x14ac:dyDescent="0.35">
      <c r="A316" t="s">
        <v>264</v>
      </c>
      <c r="B316" s="514">
        <f>B314*B315</f>
        <v>148.10666229144229</v>
      </c>
      <c r="C316" s="514">
        <f>C314*C315</f>
        <v>910.79303797331659</v>
      </c>
    </row>
    <row r="317" spans="1:3" ht="15.5" x14ac:dyDescent="0.35">
      <c r="A317" s="260"/>
      <c r="B317" s="261"/>
      <c r="C317" s="262"/>
    </row>
    <row r="318" spans="1:3" ht="15.5" x14ac:dyDescent="0.35">
      <c r="A318" t="s">
        <v>753</v>
      </c>
      <c r="B318" s="261"/>
      <c r="C318" s="262"/>
    </row>
    <row r="319" spans="1:3" ht="15.5" x14ac:dyDescent="0.35">
      <c r="A319" t="s">
        <v>307</v>
      </c>
      <c r="B319" s="261"/>
      <c r="C319" s="262"/>
    </row>
    <row r="320" spans="1:3" ht="15.5" x14ac:dyDescent="0.35">
      <c r="A320" t="s">
        <v>265</v>
      </c>
      <c r="B320" s="261"/>
      <c r="C320" s="262"/>
    </row>
    <row r="321" spans="1:4" ht="15.5" x14ac:dyDescent="0.35">
      <c r="A321" s="260"/>
      <c r="B321" s="261"/>
      <c r="C321" s="262"/>
    </row>
    <row r="322" spans="1:4" x14ac:dyDescent="0.35">
      <c r="A322" t="s">
        <v>266</v>
      </c>
    </row>
    <row r="323" spans="1:4" x14ac:dyDescent="0.35">
      <c r="A323" t="s">
        <v>845</v>
      </c>
      <c r="B323" s="360">
        <f>B84</f>
        <v>38.33431640773189</v>
      </c>
      <c r="C323" s="360">
        <f>B116</f>
        <v>202.06264839972818</v>
      </c>
    </row>
    <row r="324" spans="1:4" x14ac:dyDescent="0.35">
      <c r="A324" t="s">
        <v>267</v>
      </c>
      <c r="B324" s="353">
        <v>0.5</v>
      </c>
      <c r="C324" s="353">
        <v>0.5</v>
      </c>
    </row>
    <row r="325" spans="1:4" x14ac:dyDescent="0.35">
      <c r="A325" t="s">
        <v>268</v>
      </c>
      <c r="B325" s="520">
        <f>B323/B324</f>
        <v>76.668632815463781</v>
      </c>
      <c r="C325" s="520">
        <f>C323/C324</f>
        <v>404.12529679945635</v>
      </c>
    </row>
    <row r="326" spans="1:4" x14ac:dyDescent="0.35">
      <c r="A326" t="s">
        <v>269</v>
      </c>
      <c r="B326" s="100">
        <f>B325*'Rates 2020'!$J$13*2</f>
        <v>51001.507921502816</v>
      </c>
      <c r="C326" s="100">
        <f>C325*'Rates 2020'!$J$13*2</f>
        <v>268832.22993693437</v>
      </c>
    </row>
    <row r="328" spans="1:4" x14ac:dyDescent="0.35">
      <c r="B328" s="352" t="s">
        <v>517</v>
      </c>
      <c r="C328" s="352" t="s">
        <v>638</v>
      </c>
      <c r="D328" s="26"/>
    </row>
    <row r="329" spans="1:4" x14ac:dyDescent="0.35">
      <c r="B329" s="352" t="s">
        <v>1363</v>
      </c>
      <c r="C329" s="352" t="s">
        <v>987</v>
      </c>
      <c r="D329" s="26"/>
    </row>
    <row r="330" spans="1:4" x14ac:dyDescent="0.35">
      <c r="A330" s="294" t="s">
        <v>270</v>
      </c>
      <c r="B330" s="393">
        <f>B326+B316+B311+B300+B288</f>
        <v>120769.1480983535</v>
      </c>
      <c r="C330" s="393">
        <f>C326+C316+C311+C300+C288</f>
        <v>659144.89631157462</v>
      </c>
    </row>
    <row r="333" spans="1:4" x14ac:dyDescent="0.35">
      <c r="A333" s="121" t="s">
        <v>274</v>
      </c>
      <c r="B333" s="121"/>
    </row>
    <row r="334" spans="1:4" x14ac:dyDescent="0.35">
      <c r="A334" t="s">
        <v>160</v>
      </c>
    </row>
    <row r="335" spans="1:4" x14ac:dyDescent="0.35">
      <c r="A335" s="60" t="s">
        <v>886</v>
      </c>
    </row>
    <row r="336" spans="1:4" x14ac:dyDescent="0.35">
      <c r="A336" t="s">
        <v>1409</v>
      </c>
    </row>
    <row r="337" spans="1:6" x14ac:dyDescent="0.35">
      <c r="A337" t="s">
        <v>278</v>
      </c>
    </row>
    <row r="339" spans="1:6" x14ac:dyDescent="0.35">
      <c r="B339" s="352" t="s">
        <v>517</v>
      </c>
      <c r="C339" s="352" t="s">
        <v>518</v>
      </c>
      <c r="D339" s="352" t="s">
        <v>639</v>
      </c>
      <c r="E339" s="352" t="s">
        <v>638</v>
      </c>
      <c r="F339" s="352" t="s">
        <v>1386</v>
      </c>
    </row>
    <row r="340" spans="1:6" x14ac:dyDescent="0.35">
      <c r="B340" s="352" t="s">
        <v>1363</v>
      </c>
      <c r="C340" s="352" t="s">
        <v>1376</v>
      </c>
      <c r="D340" s="352" t="s">
        <v>1377</v>
      </c>
      <c r="E340" s="352" t="s">
        <v>987</v>
      </c>
      <c r="F340" s="352" t="s">
        <v>1378</v>
      </c>
    </row>
    <row r="341" spans="1:6" x14ac:dyDescent="0.35">
      <c r="A341" t="s">
        <v>846</v>
      </c>
      <c r="B341" s="360">
        <f>B84</f>
        <v>38.33431640773189</v>
      </c>
      <c r="C341" s="360">
        <f>B93</f>
        <v>43.713846306030888</v>
      </c>
      <c r="D341" s="360">
        <f>B101</f>
        <v>22.640956454658266</v>
      </c>
      <c r="E341" s="360">
        <f>B116</f>
        <v>202.06264839972818</v>
      </c>
      <c r="F341" s="360">
        <f>B125</f>
        <v>14.492561223875835</v>
      </c>
    </row>
    <row r="342" spans="1:6" x14ac:dyDescent="0.35">
      <c r="A342" t="s">
        <v>275</v>
      </c>
      <c r="B342" s="516">
        <v>1500</v>
      </c>
      <c r="C342" s="516">
        <v>1500</v>
      </c>
      <c r="D342" s="516">
        <v>1500</v>
      </c>
      <c r="E342" s="516">
        <v>1500</v>
      </c>
      <c r="F342" s="516">
        <v>1500</v>
      </c>
    </row>
    <row r="343" spans="1:6" x14ac:dyDescent="0.35">
      <c r="A343" t="s">
        <v>170</v>
      </c>
      <c r="B343" s="517">
        <f>B341*B342</f>
        <v>57501.474611597834</v>
      </c>
      <c r="C343" s="517">
        <f>C341*C342</f>
        <v>65570.769459046336</v>
      </c>
      <c r="D343" s="517">
        <f>D341*D342</f>
        <v>33961.434681987397</v>
      </c>
      <c r="E343" s="517">
        <f>E341*E342</f>
        <v>303093.97259959223</v>
      </c>
      <c r="F343" s="517">
        <f>F341*F342</f>
        <v>21738.841835813753</v>
      </c>
    </row>
    <row r="345" spans="1:6" s="5" customFormat="1" x14ac:dyDescent="0.35">
      <c r="A345" s="294" t="s">
        <v>276</v>
      </c>
      <c r="B345" s="393">
        <f>B343</f>
        <v>57501.474611597834</v>
      </c>
      <c r="C345" s="393">
        <f>C343</f>
        <v>65570.769459046336</v>
      </c>
      <c r="D345" s="393">
        <f>D343</f>
        <v>33961.434681987397</v>
      </c>
      <c r="E345" s="393">
        <f>E343</f>
        <v>303093.97259959223</v>
      </c>
      <c r="F345" s="393">
        <f>F343</f>
        <v>21738.841835813753</v>
      </c>
    </row>
    <row r="348" spans="1:6" ht="18.5" x14ac:dyDescent="0.45">
      <c r="A348" s="485" t="s">
        <v>836</v>
      </c>
      <c r="B348" s="96"/>
      <c r="C348" s="96"/>
      <c r="D348" s="345">
        <f>F345+E345+D345+C345+B345+B330+C330+B269+C269+C192+B159+B139+C139+D139</f>
        <v>8342952.7717944402</v>
      </c>
    </row>
  </sheetData>
  <phoneticPr fontId="64" type="noConversion"/>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499984740745262"/>
  </sheetPr>
  <dimension ref="A1:D37"/>
  <sheetViews>
    <sheetView zoomScale="85" zoomScaleNormal="85" workbookViewId="0">
      <selection activeCell="I19" sqref="I19"/>
    </sheetView>
  </sheetViews>
  <sheetFormatPr defaultRowHeight="14.5" x14ac:dyDescent="0.35"/>
  <cols>
    <col min="1" max="1" width="43.26953125" customWidth="1"/>
    <col min="2" max="2" width="17.1796875" customWidth="1"/>
    <col min="3" max="3" width="13.1796875" bestFit="1" customWidth="1"/>
  </cols>
  <sheetData>
    <row r="1" spans="1:4" x14ac:dyDescent="0.35">
      <c r="A1" s="307" t="s">
        <v>0</v>
      </c>
    </row>
    <row r="2" spans="1:4" x14ac:dyDescent="0.35">
      <c r="A2" s="308" t="s">
        <v>1</v>
      </c>
    </row>
    <row r="3" spans="1:4" x14ac:dyDescent="0.35">
      <c r="A3" s="308" t="s">
        <v>971</v>
      </c>
    </row>
    <row r="4" spans="1:4" x14ac:dyDescent="0.35">
      <c r="A4" s="309" t="s">
        <v>1546</v>
      </c>
    </row>
    <row r="7" spans="1:4" ht="18.5" x14ac:dyDescent="0.45">
      <c r="A7" s="485" t="s">
        <v>1339</v>
      </c>
      <c r="B7" s="126"/>
      <c r="C7" s="126"/>
      <c r="D7" s="126"/>
    </row>
    <row r="8" spans="1:4" x14ac:dyDescent="0.35">
      <c r="A8" t="s">
        <v>160</v>
      </c>
    </row>
    <row r="9" spans="1:4" x14ac:dyDescent="0.35">
      <c r="A9" t="s">
        <v>847</v>
      </c>
    </row>
    <row r="10" spans="1:4" x14ac:dyDescent="0.35">
      <c r="A10" t="s">
        <v>848</v>
      </c>
    </row>
    <row r="11" spans="1:4" x14ac:dyDescent="0.35">
      <c r="A11" t="s">
        <v>849</v>
      </c>
    </row>
    <row r="12" spans="1:4" x14ac:dyDescent="0.35">
      <c r="A12" t="s">
        <v>850</v>
      </c>
    </row>
    <row r="13" spans="1:4" x14ac:dyDescent="0.35">
      <c r="A13" t="s">
        <v>851</v>
      </c>
    </row>
    <row r="14" spans="1:4" x14ac:dyDescent="0.35">
      <c r="A14" t="s">
        <v>852</v>
      </c>
    </row>
    <row r="15" spans="1:4" x14ac:dyDescent="0.35">
      <c r="A15" t="s">
        <v>853</v>
      </c>
    </row>
    <row r="16" spans="1:4" x14ac:dyDescent="0.35">
      <c r="A16" t="s">
        <v>854</v>
      </c>
    </row>
    <row r="17" spans="1:2" x14ac:dyDescent="0.35">
      <c r="A17" t="s">
        <v>855</v>
      </c>
    </row>
    <row r="19" spans="1:2" x14ac:dyDescent="0.35">
      <c r="A19" t="s">
        <v>856</v>
      </c>
    </row>
    <row r="20" spans="1:2" x14ac:dyDescent="0.35">
      <c r="A20" t="s">
        <v>857</v>
      </c>
    </row>
    <row r="21" spans="1:2" x14ac:dyDescent="0.35">
      <c r="A21" t="s">
        <v>858</v>
      </c>
    </row>
    <row r="22" spans="1:2" x14ac:dyDescent="0.35">
      <c r="A22" t="s">
        <v>859</v>
      </c>
    </row>
    <row r="23" spans="1:2" x14ac:dyDescent="0.35">
      <c r="A23" t="s">
        <v>860</v>
      </c>
    </row>
    <row r="26" spans="1:2" x14ac:dyDescent="0.35">
      <c r="A26" t="s">
        <v>861</v>
      </c>
    </row>
    <row r="27" spans="1:2" x14ac:dyDescent="0.35">
      <c r="A27" t="s">
        <v>866</v>
      </c>
      <c r="B27" s="229">
        <f>840*25.5</f>
        <v>21420</v>
      </c>
    </row>
    <row r="28" spans="1:2" x14ac:dyDescent="0.35">
      <c r="A28" t="s">
        <v>867</v>
      </c>
      <c r="B28" s="229">
        <f>5*3400</f>
        <v>17000</v>
      </c>
    </row>
    <row r="29" spans="1:2" x14ac:dyDescent="0.35">
      <c r="A29" t="s">
        <v>862</v>
      </c>
      <c r="B29" s="94">
        <f>60*100</f>
        <v>6000</v>
      </c>
    </row>
    <row r="30" spans="1:2" x14ac:dyDescent="0.35">
      <c r="A30" t="s">
        <v>868</v>
      </c>
      <c r="B30" s="229">
        <f>9*100</f>
        <v>900</v>
      </c>
    </row>
    <row r="31" spans="1:2" x14ac:dyDescent="0.35">
      <c r="A31" t="s">
        <v>863</v>
      </c>
      <c r="B31" s="94"/>
    </row>
    <row r="32" spans="1:2" x14ac:dyDescent="0.35">
      <c r="A32" s="25" t="s">
        <v>864</v>
      </c>
      <c r="B32" s="94">
        <f>10*840</f>
        <v>8400</v>
      </c>
    </row>
    <row r="33" spans="1:4" x14ac:dyDescent="0.35">
      <c r="A33" s="25" t="s">
        <v>865</v>
      </c>
      <c r="B33" s="199">
        <f>5*800</f>
        <v>4000</v>
      </c>
      <c r="C33" s="45"/>
    </row>
    <row r="34" spans="1:4" x14ac:dyDescent="0.35">
      <c r="A34" s="25" t="s">
        <v>170</v>
      </c>
      <c r="B34" s="94">
        <f>SUM(B27:B33)</f>
        <v>57720</v>
      </c>
    </row>
    <row r="37" spans="1:4" s="5" customFormat="1" ht="18.5" x14ac:dyDescent="0.45">
      <c r="A37" s="485" t="s">
        <v>1339</v>
      </c>
      <c r="B37" s="125"/>
      <c r="C37" s="345">
        <f>B34</f>
        <v>57720</v>
      </c>
      <c r="D37" s="125"/>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499984740745262"/>
  </sheetPr>
  <dimension ref="A1:Q100"/>
  <sheetViews>
    <sheetView zoomScale="85" zoomScaleNormal="85" workbookViewId="0">
      <selection activeCell="F22" sqref="F22"/>
    </sheetView>
  </sheetViews>
  <sheetFormatPr defaultColWidth="9.1796875" defaultRowHeight="14.5" x14ac:dyDescent="0.35"/>
  <cols>
    <col min="1" max="1" width="19.81640625" customWidth="1"/>
    <col min="2" max="2" width="18.1796875" customWidth="1"/>
    <col min="3" max="3" width="17.26953125" customWidth="1"/>
    <col min="4" max="4" width="18.453125" customWidth="1"/>
    <col min="5" max="5" width="15" customWidth="1"/>
    <col min="6" max="6" width="20" customWidth="1"/>
  </cols>
  <sheetData>
    <row r="1" spans="1:6" x14ac:dyDescent="0.35">
      <c r="A1" s="307" t="s">
        <v>0</v>
      </c>
    </row>
    <row r="2" spans="1:6" x14ac:dyDescent="0.35">
      <c r="A2" s="308" t="s">
        <v>1</v>
      </c>
    </row>
    <row r="3" spans="1:6" x14ac:dyDescent="0.35">
      <c r="A3" s="308" t="s">
        <v>971</v>
      </c>
    </row>
    <row r="4" spans="1:6" x14ac:dyDescent="0.35">
      <c r="A4" s="309" t="s">
        <v>1546</v>
      </c>
    </row>
    <row r="5" spans="1:6" x14ac:dyDescent="0.35">
      <c r="A5" s="309"/>
    </row>
    <row r="6" spans="1:6" x14ac:dyDescent="0.35">
      <c r="A6" s="414" t="s">
        <v>1022</v>
      </c>
      <c r="B6" s="60"/>
      <c r="C6" s="60"/>
      <c r="D6" s="60"/>
      <c r="E6" s="60"/>
      <c r="F6" s="60"/>
    </row>
    <row r="7" spans="1:6" ht="13.5" customHeight="1" x14ac:dyDescent="0.35">
      <c r="A7" s="433" t="s">
        <v>995</v>
      </c>
      <c r="B7" s="434" t="s">
        <v>1196</v>
      </c>
      <c r="C7" s="434" t="s">
        <v>1216</v>
      </c>
      <c r="D7" s="434" t="s">
        <v>1217</v>
      </c>
      <c r="E7" s="434" t="s">
        <v>1197</v>
      </c>
      <c r="F7" s="434" t="s">
        <v>992</v>
      </c>
    </row>
    <row r="8" spans="1:6" x14ac:dyDescent="0.35">
      <c r="A8" s="435" t="s">
        <v>1016</v>
      </c>
      <c r="B8" s="436">
        <v>4.7358585126298598</v>
      </c>
      <c r="C8" s="436"/>
      <c r="D8" s="436"/>
      <c r="E8" s="436"/>
      <c r="F8" s="436">
        <v>4.7358585126298598</v>
      </c>
    </row>
    <row r="9" spans="1:6" x14ac:dyDescent="0.35">
      <c r="A9" s="60"/>
      <c r="B9" s="60"/>
      <c r="C9" s="60"/>
      <c r="D9" s="60"/>
      <c r="E9" s="60"/>
      <c r="F9" s="60"/>
    </row>
    <row r="10" spans="1:6" s="5" customFormat="1" ht="18.5" x14ac:dyDescent="0.45">
      <c r="A10" s="125" t="s">
        <v>1338</v>
      </c>
      <c r="B10" s="125"/>
      <c r="C10" s="125"/>
      <c r="D10" s="95"/>
    </row>
    <row r="11" spans="1:6" x14ac:dyDescent="0.35">
      <c r="A11" s="302" t="s">
        <v>969</v>
      </c>
    </row>
    <row r="12" spans="1:6" x14ac:dyDescent="0.35">
      <c r="A12" s="216"/>
    </row>
    <row r="13" spans="1:6" x14ac:dyDescent="0.35">
      <c r="A13" t="s">
        <v>580</v>
      </c>
    </row>
    <row r="14" spans="1:6" x14ac:dyDescent="0.35">
      <c r="A14" t="s">
        <v>581</v>
      </c>
    </row>
    <row r="15" spans="1:6" x14ac:dyDescent="0.35">
      <c r="A15" t="s">
        <v>574</v>
      </c>
    </row>
    <row r="16" spans="1:6" x14ac:dyDescent="0.35">
      <c r="A16" t="s">
        <v>575</v>
      </c>
    </row>
    <row r="17" spans="1:3" x14ac:dyDescent="0.35">
      <c r="A17" t="s">
        <v>576</v>
      </c>
    </row>
    <row r="18" spans="1:3" x14ac:dyDescent="0.35">
      <c r="A18" t="s">
        <v>577</v>
      </c>
    </row>
    <row r="20" spans="1:3" x14ac:dyDescent="0.35">
      <c r="A20" s="302" t="s">
        <v>968</v>
      </c>
    </row>
    <row r="21" spans="1:3" x14ac:dyDescent="0.35">
      <c r="A21" s="216"/>
    </row>
    <row r="22" spans="1:3" x14ac:dyDescent="0.35">
      <c r="A22" t="s">
        <v>967</v>
      </c>
      <c r="C22">
        <v>6387.5</v>
      </c>
    </row>
    <row r="23" spans="1:3" x14ac:dyDescent="0.35">
      <c r="A23" t="s">
        <v>578</v>
      </c>
      <c r="C23">
        <v>330</v>
      </c>
    </row>
    <row r="24" spans="1:3" x14ac:dyDescent="0.35">
      <c r="A24" t="s">
        <v>966</v>
      </c>
      <c r="C24">
        <v>10</v>
      </c>
    </row>
    <row r="25" spans="1:3" x14ac:dyDescent="0.35">
      <c r="A25" t="s">
        <v>965</v>
      </c>
      <c r="C25">
        <v>4.5</v>
      </c>
    </row>
    <row r="26" spans="1:3" x14ac:dyDescent="0.35">
      <c r="A26" t="s">
        <v>964</v>
      </c>
      <c r="C26">
        <v>1</v>
      </c>
    </row>
    <row r="27" spans="1:3" x14ac:dyDescent="0.35">
      <c r="A27" t="s">
        <v>963</v>
      </c>
      <c r="C27" s="25" t="s">
        <v>962</v>
      </c>
    </row>
    <row r="28" spans="1:3" x14ac:dyDescent="0.35">
      <c r="A28" t="s">
        <v>961</v>
      </c>
      <c r="C28" s="25" t="s">
        <v>960</v>
      </c>
    </row>
    <row r="29" spans="1:3" x14ac:dyDescent="0.35">
      <c r="A29" t="s">
        <v>959</v>
      </c>
      <c r="C29" s="249">
        <v>2539</v>
      </c>
    </row>
    <row r="30" spans="1:3" x14ac:dyDescent="0.35">
      <c r="A30" t="s">
        <v>958</v>
      </c>
      <c r="C30" s="306">
        <v>150000</v>
      </c>
    </row>
    <row r="31" spans="1:3" x14ac:dyDescent="0.35">
      <c r="A31" t="s">
        <v>957</v>
      </c>
      <c r="C31" s="306">
        <f>C30*C36</f>
        <v>187500</v>
      </c>
    </row>
    <row r="32" spans="1:3" x14ac:dyDescent="0.35">
      <c r="A32" t="s">
        <v>956</v>
      </c>
      <c r="C32" s="249">
        <v>730</v>
      </c>
    </row>
    <row r="33" spans="1:17" x14ac:dyDescent="0.35">
      <c r="A33" t="s">
        <v>955</v>
      </c>
      <c r="C33" s="249">
        <v>7450</v>
      </c>
    </row>
    <row r="34" spans="1:17" x14ac:dyDescent="0.35">
      <c r="A34" t="s">
        <v>954</v>
      </c>
      <c r="C34" s="249">
        <f>2.04*C32</f>
        <v>1489.2</v>
      </c>
      <c r="D34" t="s">
        <v>953</v>
      </c>
    </row>
    <row r="35" spans="1:17" x14ac:dyDescent="0.35">
      <c r="A35" t="s">
        <v>952</v>
      </c>
      <c r="C35" s="25">
        <v>2</v>
      </c>
    </row>
    <row r="36" spans="1:17" x14ac:dyDescent="0.35">
      <c r="A36" t="s">
        <v>951</v>
      </c>
      <c r="C36" s="25">
        <v>1.25</v>
      </c>
    </row>
    <row r="38" spans="1:17" x14ac:dyDescent="0.35">
      <c r="A38" s="302" t="s">
        <v>950</v>
      </c>
    </row>
    <row r="39" spans="1:17" x14ac:dyDescent="0.35">
      <c r="A39" s="216"/>
    </row>
    <row r="40" spans="1:17" x14ac:dyDescent="0.35">
      <c r="A40" t="s">
        <v>949</v>
      </c>
      <c r="C40" s="20">
        <f>100</f>
        <v>100</v>
      </c>
      <c r="Q40" s="216"/>
    </row>
    <row r="41" spans="1:17" x14ac:dyDescent="0.35">
      <c r="A41" t="s">
        <v>948</v>
      </c>
      <c r="C41" s="59">
        <f>C40*C34</f>
        <v>148920</v>
      </c>
    </row>
    <row r="43" spans="1:17" x14ac:dyDescent="0.35">
      <c r="A43" s="302" t="s">
        <v>947</v>
      </c>
    </row>
    <row r="45" spans="1:17" x14ac:dyDescent="0.35">
      <c r="A45" t="s">
        <v>946</v>
      </c>
      <c r="C45" s="305">
        <v>18.55</v>
      </c>
    </row>
    <row r="46" spans="1:17" x14ac:dyDescent="0.35">
      <c r="A46" t="s">
        <v>945</v>
      </c>
      <c r="C46" s="200">
        <f>C30*C45</f>
        <v>2782500</v>
      </c>
    </row>
    <row r="48" spans="1:17" x14ac:dyDescent="0.35">
      <c r="A48" s="302" t="s">
        <v>944</v>
      </c>
    </row>
    <row r="49" spans="1:10" x14ac:dyDescent="0.35">
      <c r="A49" s="302"/>
    </row>
    <row r="50" spans="1:10" x14ac:dyDescent="0.35">
      <c r="A50" t="s">
        <v>943</v>
      </c>
      <c r="C50" s="101">
        <f>C32+C33</f>
        <v>8180</v>
      </c>
      <c r="E50" t="s">
        <v>942</v>
      </c>
      <c r="G50">
        <v>100</v>
      </c>
      <c r="H50" t="s">
        <v>941</v>
      </c>
    </row>
    <row r="51" spans="1:10" x14ac:dyDescent="0.35">
      <c r="A51" t="s">
        <v>940</v>
      </c>
      <c r="C51">
        <v>375</v>
      </c>
      <c r="E51" t="s">
        <v>939</v>
      </c>
      <c r="G51">
        <v>375</v>
      </c>
      <c r="H51" t="s">
        <v>938</v>
      </c>
    </row>
    <row r="52" spans="1:10" x14ac:dyDescent="0.35">
      <c r="A52" t="s">
        <v>937</v>
      </c>
      <c r="C52">
        <f>G52</f>
        <v>0.74699999999999989</v>
      </c>
      <c r="E52" t="s">
        <v>936</v>
      </c>
      <c r="G52">
        <f>0.75*1.2*0.83</f>
        <v>0.74699999999999989</v>
      </c>
    </row>
    <row r="53" spans="1:10" x14ac:dyDescent="0.35">
      <c r="A53" t="s">
        <v>907</v>
      </c>
      <c r="C53">
        <v>0.9</v>
      </c>
      <c r="E53" t="s">
        <v>935</v>
      </c>
    </row>
    <row r="54" spans="1:10" x14ac:dyDescent="0.35">
      <c r="A54" t="s">
        <v>934</v>
      </c>
      <c r="C54">
        <f>C51*C52*C53</f>
        <v>252.11249999999995</v>
      </c>
    </row>
    <row r="55" spans="1:10" x14ac:dyDescent="0.35">
      <c r="A55" t="s">
        <v>933</v>
      </c>
      <c r="C55" s="24">
        <f>((10*5.3)+(5.3*(5.3*1.35)))*C50</f>
        <v>743737.87000000011</v>
      </c>
      <c r="E55" t="s">
        <v>932</v>
      </c>
      <c r="G55">
        <f>G51*G52</f>
        <v>280.12499999999994</v>
      </c>
    </row>
    <row r="56" spans="1:10" x14ac:dyDescent="0.35">
      <c r="A56" t="s">
        <v>931</v>
      </c>
      <c r="C56" s="24">
        <f>CONVERT(C55,"ft3","yd3")*1.25</f>
        <v>34432.308796296304</v>
      </c>
    </row>
    <row r="57" spans="1:10" x14ac:dyDescent="0.35">
      <c r="A57" t="s">
        <v>930</v>
      </c>
      <c r="C57" s="303">
        <f>C56/C54</f>
        <v>136.57517495680028</v>
      </c>
    </row>
    <row r="58" spans="1:10" x14ac:dyDescent="0.35">
      <c r="A58" t="s">
        <v>929</v>
      </c>
      <c r="C58" s="304">
        <v>194.45</v>
      </c>
      <c r="E58" s="190"/>
      <c r="J58" s="216" t="s">
        <v>160</v>
      </c>
    </row>
    <row r="59" spans="1:10" x14ac:dyDescent="0.35">
      <c r="A59" t="s">
        <v>83</v>
      </c>
      <c r="C59" s="303">
        <f>C57*C58</f>
        <v>26557.042770349814</v>
      </c>
      <c r="E59" s="190"/>
      <c r="J59" t="s">
        <v>928</v>
      </c>
    </row>
    <row r="60" spans="1:10" x14ac:dyDescent="0.35">
      <c r="C60" s="190"/>
      <c r="E60" s="190"/>
      <c r="J60" t="s">
        <v>927</v>
      </c>
    </row>
    <row r="61" spans="1:10" x14ac:dyDescent="0.35">
      <c r="C61" s="190"/>
      <c r="E61" s="190"/>
      <c r="J61" t="s">
        <v>926</v>
      </c>
    </row>
    <row r="62" spans="1:10" x14ac:dyDescent="0.35">
      <c r="A62" s="302" t="s">
        <v>925</v>
      </c>
      <c r="J62" s="216" t="s">
        <v>924</v>
      </c>
    </row>
    <row r="63" spans="1:10" x14ac:dyDescent="0.35">
      <c r="A63" s="216"/>
    </row>
    <row r="64" spans="1:10" x14ac:dyDescent="0.35">
      <c r="A64" s="60" t="s">
        <v>923</v>
      </c>
    </row>
    <row r="65" spans="1:5" x14ac:dyDescent="0.35">
      <c r="A65" s="60" t="s">
        <v>922</v>
      </c>
      <c r="E65" s="25">
        <v>10</v>
      </c>
    </row>
    <row r="66" spans="1:5" x14ac:dyDescent="0.35">
      <c r="A66" s="60" t="s">
        <v>921</v>
      </c>
      <c r="E66" s="25">
        <v>20</v>
      </c>
    </row>
    <row r="67" spans="1:5" x14ac:dyDescent="0.35">
      <c r="A67" s="60"/>
      <c r="E67" s="25"/>
    </row>
    <row r="68" spans="1:5" x14ac:dyDescent="0.35">
      <c r="A68" t="s">
        <v>184</v>
      </c>
      <c r="C68">
        <v>1.5</v>
      </c>
      <c r="D68" t="s">
        <v>920</v>
      </c>
    </row>
    <row r="69" spans="1:5" x14ac:dyDescent="0.35">
      <c r="A69" t="s">
        <v>185</v>
      </c>
      <c r="C69">
        <f>C35/(E65/60)</f>
        <v>12</v>
      </c>
    </row>
    <row r="70" spans="1:5" x14ac:dyDescent="0.35">
      <c r="A70" t="s">
        <v>186</v>
      </c>
      <c r="C70">
        <v>1.6</v>
      </c>
    </row>
    <row r="71" spans="1:5" x14ac:dyDescent="0.35">
      <c r="A71" t="s">
        <v>187</v>
      </c>
      <c r="C71" s="20">
        <f>C35/(E66/60)</f>
        <v>6</v>
      </c>
    </row>
    <row r="72" spans="1:5" x14ac:dyDescent="0.35">
      <c r="A72" t="s">
        <v>188</v>
      </c>
      <c r="C72">
        <f>SUM(C68:C71)</f>
        <v>21.1</v>
      </c>
    </row>
    <row r="73" spans="1:5" x14ac:dyDescent="0.35">
      <c r="A73" t="s">
        <v>189</v>
      </c>
      <c r="C73">
        <v>0</v>
      </c>
    </row>
    <row r="74" spans="1:5" x14ac:dyDescent="0.35">
      <c r="A74" t="s">
        <v>190</v>
      </c>
      <c r="C74" s="20">
        <v>0</v>
      </c>
      <c r="D74" t="s">
        <v>191</v>
      </c>
      <c r="E74" t="s">
        <v>919</v>
      </c>
    </row>
    <row r="75" spans="1:5" x14ac:dyDescent="0.35">
      <c r="A75" t="s">
        <v>918</v>
      </c>
      <c r="C75">
        <f>SUM(C72:C74)</f>
        <v>21.1</v>
      </c>
      <c r="D75">
        <f>SUM(C69:C71)</f>
        <v>19.600000000000001</v>
      </c>
      <c r="E75" s="21">
        <f>+D75/C68</f>
        <v>13.066666666666668</v>
      </c>
    </row>
    <row r="76" spans="1:5" x14ac:dyDescent="0.35">
      <c r="A76" t="s">
        <v>917</v>
      </c>
      <c r="C76" s="55">
        <f>60/C75</f>
        <v>2.8436018957345968</v>
      </c>
    </row>
    <row r="78" spans="1:5" x14ac:dyDescent="0.35">
      <c r="A78" t="s">
        <v>916</v>
      </c>
      <c r="C78">
        <f>25</f>
        <v>25</v>
      </c>
    </row>
    <row r="79" spans="1:5" x14ac:dyDescent="0.35">
      <c r="A79" t="s">
        <v>915</v>
      </c>
      <c r="C79" s="21">
        <f>C78*C76</f>
        <v>71.090047393364912</v>
      </c>
    </row>
    <row r="81" spans="1:6" x14ac:dyDescent="0.35">
      <c r="A81" t="s">
        <v>914</v>
      </c>
      <c r="C81" s="50">
        <f>C78/D81</f>
        <v>5</v>
      </c>
      <c r="D81">
        <v>5</v>
      </c>
      <c r="E81" t="s">
        <v>970</v>
      </c>
    </row>
    <row r="82" spans="1:6" x14ac:dyDescent="0.35">
      <c r="A82" t="s">
        <v>913</v>
      </c>
      <c r="C82">
        <v>0.7</v>
      </c>
    </row>
    <row r="83" spans="1:6" x14ac:dyDescent="0.35">
      <c r="A83" t="s">
        <v>912</v>
      </c>
      <c r="C83">
        <f>C81*C82</f>
        <v>3.5</v>
      </c>
    </row>
    <row r="84" spans="1:6" x14ac:dyDescent="0.35">
      <c r="A84" t="s">
        <v>911</v>
      </c>
      <c r="C84" s="50">
        <f>C75/C83</f>
        <v>6.0285714285714294</v>
      </c>
    </row>
    <row r="86" spans="1:6" x14ac:dyDescent="0.35">
      <c r="A86" t="s">
        <v>910</v>
      </c>
      <c r="C86" s="301">
        <f>(C84*C78)/C75</f>
        <v>7.1428571428571423</v>
      </c>
    </row>
    <row r="87" spans="1:6" x14ac:dyDescent="0.35">
      <c r="A87" t="s">
        <v>909</v>
      </c>
      <c r="C87" s="50">
        <f>C86*60</f>
        <v>428.57142857142856</v>
      </c>
    </row>
    <row r="88" spans="1:6" x14ac:dyDescent="0.35">
      <c r="A88" t="s">
        <v>908</v>
      </c>
      <c r="C88">
        <v>0.83</v>
      </c>
    </row>
    <row r="89" spans="1:6" x14ac:dyDescent="0.35">
      <c r="A89" t="s">
        <v>907</v>
      </c>
      <c r="C89">
        <v>0.9</v>
      </c>
    </row>
    <row r="90" spans="1:6" x14ac:dyDescent="0.35">
      <c r="A90" t="s">
        <v>906</v>
      </c>
      <c r="C90" s="21">
        <f>C87*C88*C89</f>
        <v>320.14285714285711</v>
      </c>
    </row>
    <row r="91" spans="1:6" x14ac:dyDescent="0.35">
      <c r="A91" t="s">
        <v>905</v>
      </c>
      <c r="C91" s="21">
        <f>C30/C90</f>
        <v>468.54082998661318</v>
      </c>
    </row>
    <row r="93" spans="1:6" x14ac:dyDescent="0.35">
      <c r="B93" s="2" t="s">
        <v>203</v>
      </c>
      <c r="C93" s="2" t="s">
        <v>92</v>
      </c>
      <c r="D93" s="63" t="s">
        <v>214</v>
      </c>
      <c r="E93" s="64" t="s">
        <v>204</v>
      </c>
      <c r="F93" s="65" t="s">
        <v>215</v>
      </c>
    </row>
    <row r="94" spans="1:6" x14ac:dyDescent="0.35">
      <c r="A94" t="s">
        <v>207</v>
      </c>
      <c r="B94" s="63">
        <v>2</v>
      </c>
      <c r="C94" s="2" t="s">
        <v>103</v>
      </c>
      <c r="D94" s="63">
        <v>389.22</v>
      </c>
      <c r="E94" s="63">
        <f>B94*$C$91</f>
        <v>937.08165997322635</v>
      </c>
      <c r="F94" s="66">
        <f>D94*E94</f>
        <v>364730.92369477917</v>
      </c>
    </row>
    <row r="95" spans="1:6" x14ac:dyDescent="0.35">
      <c r="A95" t="s">
        <v>208</v>
      </c>
      <c r="B95" s="63">
        <f>C84</f>
        <v>6.0285714285714294</v>
      </c>
      <c r="C95" s="63" t="s">
        <v>136</v>
      </c>
      <c r="D95" s="63">
        <v>234.63</v>
      </c>
      <c r="E95" s="63">
        <f>B95*$C$91</f>
        <v>2824.6318607764397</v>
      </c>
      <c r="F95" s="66">
        <f>D95*E95</f>
        <v>662743.37349397608</v>
      </c>
    </row>
    <row r="96" spans="1:6" x14ac:dyDescent="0.35">
      <c r="A96" t="s">
        <v>209</v>
      </c>
      <c r="B96" s="300">
        <v>1</v>
      </c>
      <c r="C96" s="67" t="s">
        <v>99</v>
      </c>
      <c r="D96" s="102">
        <v>194.45</v>
      </c>
      <c r="E96" s="67">
        <f>B96*$C$91</f>
        <v>468.54082998661318</v>
      </c>
      <c r="F96" s="68">
        <f>D96*E96</f>
        <v>91107.764390896933</v>
      </c>
    </row>
    <row r="97" spans="1:6" x14ac:dyDescent="0.35">
      <c r="A97" t="s">
        <v>220</v>
      </c>
      <c r="B97" s="63">
        <f>SUM(B94:B96)</f>
        <v>9.0285714285714285</v>
      </c>
      <c r="C97" s="63"/>
      <c r="D97" s="2"/>
      <c r="E97" s="63">
        <f>SUM(E94:E96)</f>
        <v>4230.2543507362789</v>
      </c>
      <c r="F97" s="77">
        <f>SUM(F94:F96)</f>
        <v>1118582.0615796521</v>
      </c>
    </row>
    <row r="99" spans="1:6" x14ac:dyDescent="0.35">
      <c r="F99" s="190"/>
    </row>
    <row r="100" spans="1:6" s="5" customFormat="1" ht="18.5" x14ac:dyDescent="0.45">
      <c r="A100" s="125" t="s">
        <v>1337</v>
      </c>
      <c r="B100" s="95"/>
      <c r="C100" s="95"/>
      <c r="D100" s="474">
        <f>SUM(C41,C46,C59,F97)</f>
        <v>4076559.104350002</v>
      </c>
    </row>
  </sheetData>
  <pageMargins left="0.7" right="0.7" top="0.75" bottom="0.75" header="0.3" footer="0.3"/>
  <pageSetup orientation="portrait" horizontalDpi="90" verticalDpi="9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zoomScale="85" zoomScaleNormal="85" workbookViewId="0">
      <selection activeCell="A4" sqref="A4"/>
    </sheetView>
  </sheetViews>
  <sheetFormatPr defaultRowHeight="14.5" x14ac:dyDescent="0.35"/>
  <sheetData>
    <row r="1" spans="1:2" x14ac:dyDescent="0.35">
      <c r="A1" s="307" t="s">
        <v>0</v>
      </c>
    </row>
    <row r="2" spans="1:2" x14ac:dyDescent="0.35">
      <c r="A2" s="308" t="s">
        <v>1</v>
      </c>
    </row>
    <row r="3" spans="1:2" x14ac:dyDescent="0.35">
      <c r="A3" s="308" t="s">
        <v>971</v>
      </c>
    </row>
    <row r="4" spans="1:2" x14ac:dyDescent="0.35">
      <c r="A4" s="309" t="s">
        <v>1546</v>
      </c>
    </row>
    <row r="8" spans="1:2" x14ac:dyDescent="0.35">
      <c r="A8" t="s">
        <v>15</v>
      </c>
    </row>
    <row r="9" spans="1:2" x14ac:dyDescent="0.35">
      <c r="B9" t="s">
        <v>16</v>
      </c>
    </row>
    <row r="10" spans="1:2" x14ac:dyDescent="0.35">
      <c r="B10" t="s">
        <v>716</v>
      </c>
    </row>
    <row r="11" spans="1:2" x14ac:dyDescent="0.35">
      <c r="B11" t="s">
        <v>17</v>
      </c>
    </row>
    <row r="12" spans="1:2" x14ac:dyDescent="0.35">
      <c r="B12" t="s">
        <v>18</v>
      </c>
    </row>
    <row r="13" spans="1:2" x14ac:dyDescent="0.35">
      <c r="B13" t="s">
        <v>26</v>
      </c>
    </row>
    <row r="14" spans="1:2" x14ac:dyDescent="0.35">
      <c r="B14" t="s">
        <v>436</v>
      </c>
    </row>
    <row r="15" spans="1:2" x14ac:dyDescent="0.35">
      <c r="B15" t="s">
        <v>19</v>
      </c>
    </row>
    <row r="16" spans="1:2" x14ac:dyDescent="0.35">
      <c r="B16" t="s">
        <v>20</v>
      </c>
    </row>
    <row r="17" spans="2:2" x14ac:dyDescent="0.35">
      <c r="B17" t="s">
        <v>21</v>
      </c>
    </row>
    <row r="18" spans="2:2" x14ac:dyDescent="0.35">
      <c r="B18" t="s">
        <v>25</v>
      </c>
    </row>
    <row r="19" spans="2:2" x14ac:dyDescent="0.35">
      <c r="B19" s="60" t="s">
        <v>682</v>
      </c>
    </row>
    <row r="20" spans="2:2" x14ac:dyDescent="0.35">
      <c r="B20" s="60" t="s">
        <v>683</v>
      </c>
    </row>
    <row r="21" spans="2:2" x14ac:dyDescent="0.35">
      <c r="B21" t="s">
        <v>699</v>
      </c>
    </row>
    <row r="22" spans="2:2" x14ac:dyDescent="0.35">
      <c r="B22" t="s">
        <v>1328</v>
      </c>
    </row>
    <row r="23" spans="2:2" x14ac:dyDescent="0.35">
      <c r="B23" t="s">
        <v>1329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O321"/>
  <sheetViews>
    <sheetView tabSelected="1" zoomScale="85" zoomScaleNormal="85" workbookViewId="0">
      <selection activeCell="F78" sqref="F78"/>
    </sheetView>
  </sheetViews>
  <sheetFormatPr defaultRowHeight="14.5" x14ac:dyDescent="0.35"/>
  <cols>
    <col min="1" max="1" width="58.1796875" bestFit="1" customWidth="1"/>
    <col min="2" max="2" width="23.1796875" customWidth="1"/>
    <col min="3" max="3" width="25.54296875" customWidth="1"/>
    <col min="4" max="4" width="17.54296875" customWidth="1"/>
    <col min="5" max="5" width="15.1796875" customWidth="1"/>
    <col min="6" max="6" width="14.1796875" style="2" customWidth="1"/>
    <col min="7" max="7" width="16.453125" customWidth="1"/>
    <col min="8" max="8" width="11.54296875" style="2" customWidth="1"/>
    <col min="9" max="9" width="58.1796875" bestFit="1" customWidth="1"/>
    <col min="10" max="10" width="18.54296875" style="2" bestFit="1" customWidth="1"/>
    <col min="11" max="11" width="14" customWidth="1"/>
    <col min="12" max="12" width="12" bestFit="1" customWidth="1"/>
    <col min="13" max="13" width="13.453125" bestFit="1" customWidth="1"/>
    <col min="14" max="14" width="12.453125" bestFit="1" customWidth="1"/>
    <col min="15" max="15" width="15" bestFit="1" customWidth="1"/>
    <col min="16" max="20" width="14.81640625" bestFit="1" customWidth="1"/>
  </cols>
  <sheetData>
    <row r="1" spans="1:8" x14ac:dyDescent="0.35">
      <c r="A1" s="307" t="s">
        <v>0</v>
      </c>
    </row>
    <row r="2" spans="1:8" x14ac:dyDescent="0.35">
      <c r="A2" s="308" t="s">
        <v>1</v>
      </c>
    </row>
    <row r="3" spans="1:8" customFormat="1" x14ac:dyDescent="0.35">
      <c r="A3" s="308" t="s">
        <v>971</v>
      </c>
      <c r="F3" s="2"/>
      <c r="H3" s="2"/>
    </row>
    <row r="4" spans="1:8" customFormat="1" x14ac:dyDescent="0.35">
      <c r="A4" s="309" t="s">
        <v>1546</v>
      </c>
      <c r="F4" s="2"/>
      <c r="H4" s="2"/>
    </row>
    <row r="5" spans="1:8" customFormat="1" x14ac:dyDescent="0.35">
      <c r="A5" s="309"/>
      <c r="F5" s="2"/>
      <c r="H5" s="2"/>
    </row>
    <row r="6" spans="1:8" customFormat="1" x14ac:dyDescent="0.35">
      <c r="A6" s="414" t="s">
        <v>1022</v>
      </c>
      <c r="B6" s="60"/>
      <c r="C6" s="60"/>
      <c r="D6" s="60"/>
      <c r="E6" s="60"/>
      <c r="F6" s="149"/>
      <c r="G6" s="60"/>
    </row>
    <row r="7" spans="1:8" s="5" customFormat="1" x14ac:dyDescent="0.35">
      <c r="A7" s="433" t="s">
        <v>995</v>
      </c>
      <c r="B7" s="493" t="s">
        <v>1023</v>
      </c>
      <c r="C7" s="433" t="s">
        <v>1196</v>
      </c>
      <c r="D7" s="433" t="s">
        <v>1216</v>
      </c>
      <c r="E7" s="433" t="s">
        <v>1217</v>
      </c>
      <c r="F7" s="433" t="s">
        <v>1197</v>
      </c>
      <c r="G7" s="433" t="s">
        <v>992</v>
      </c>
    </row>
    <row r="8" spans="1:8" customFormat="1" x14ac:dyDescent="0.35">
      <c r="A8" s="435" t="s">
        <v>996</v>
      </c>
      <c r="B8" s="404" t="s">
        <v>1033</v>
      </c>
      <c r="C8" s="402"/>
      <c r="D8" s="402">
        <v>10.450375018265891</v>
      </c>
      <c r="E8" s="402">
        <v>8.6963604932822598</v>
      </c>
      <c r="F8" s="402"/>
      <c r="G8" s="402">
        <v>19.146735511548151</v>
      </c>
    </row>
    <row r="9" spans="1:8" customFormat="1" x14ac:dyDescent="0.35">
      <c r="A9" s="435" t="s">
        <v>1573</v>
      </c>
      <c r="B9" s="404" t="s">
        <v>1034</v>
      </c>
      <c r="C9" s="402"/>
      <c r="D9" s="402"/>
      <c r="E9" s="402"/>
      <c r="F9" s="402">
        <v>237.63572873673996</v>
      </c>
      <c r="G9" s="402">
        <v>237.63572873673996</v>
      </c>
    </row>
    <row r="10" spans="1:8" customFormat="1" x14ac:dyDescent="0.35">
      <c r="A10" s="435" t="s">
        <v>1574</v>
      </c>
      <c r="B10" s="404" t="s">
        <v>1034</v>
      </c>
      <c r="C10" s="402"/>
      <c r="D10" s="402"/>
      <c r="E10" s="402"/>
      <c r="F10" s="402">
        <v>446.34803034603146</v>
      </c>
      <c r="G10" s="402">
        <v>446.34803034603146</v>
      </c>
    </row>
    <row r="11" spans="1:8" customFormat="1" x14ac:dyDescent="0.35">
      <c r="A11" s="435" t="s">
        <v>1575</v>
      </c>
      <c r="B11" s="404" t="s">
        <v>1034</v>
      </c>
      <c r="C11" s="402"/>
      <c r="D11" s="402"/>
      <c r="E11" s="402"/>
      <c r="F11" s="402">
        <v>75.787161318199125</v>
      </c>
      <c r="G11" s="402">
        <v>75.787161318199125</v>
      </c>
    </row>
    <row r="12" spans="1:8" customFormat="1" x14ac:dyDescent="0.35">
      <c r="A12" s="435" t="s">
        <v>1576</v>
      </c>
      <c r="B12" s="404" t="s">
        <v>1034</v>
      </c>
      <c r="C12" s="402"/>
      <c r="D12" s="402"/>
      <c r="E12" s="402"/>
      <c r="F12" s="402">
        <v>19.348054459305299</v>
      </c>
      <c r="G12" s="402">
        <v>19.348054459305299</v>
      </c>
    </row>
    <row r="13" spans="1:8" customFormat="1" x14ac:dyDescent="0.35">
      <c r="A13" s="435" t="s">
        <v>997</v>
      </c>
      <c r="B13" s="404" t="s">
        <v>1036</v>
      </c>
      <c r="C13" s="402">
        <v>65.628247826553633</v>
      </c>
      <c r="D13" s="402">
        <v>233.11202698329805</v>
      </c>
      <c r="E13" s="402">
        <v>47.968178794911466</v>
      </c>
      <c r="F13" s="402">
        <v>37.334069343846558</v>
      </c>
      <c r="G13" s="402">
        <v>384.04252294860976</v>
      </c>
    </row>
    <row r="14" spans="1:8" customFormat="1" x14ac:dyDescent="0.35">
      <c r="A14" s="435" t="s">
        <v>998</v>
      </c>
      <c r="B14" s="404" t="s">
        <v>1036</v>
      </c>
      <c r="C14" s="402">
        <v>30.297194388787826</v>
      </c>
      <c r="D14" s="402">
        <v>112.83525512513864</v>
      </c>
      <c r="E14" s="402">
        <v>27.726020761770855</v>
      </c>
      <c r="F14" s="402">
        <v>22.261342720986502</v>
      </c>
      <c r="G14" s="402">
        <v>193.11981299668383</v>
      </c>
    </row>
    <row r="15" spans="1:8" customFormat="1" x14ac:dyDescent="0.35">
      <c r="A15" s="435" t="s">
        <v>1577</v>
      </c>
      <c r="B15" s="404" t="s">
        <v>1036</v>
      </c>
      <c r="C15" s="402">
        <v>103.75729258581802</v>
      </c>
      <c r="D15" s="402">
        <v>194.91032880470044</v>
      </c>
      <c r="E15" s="402">
        <v>1.8884598158686399</v>
      </c>
      <c r="F15" s="402">
        <v>3.4125200100677482</v>
      </c>
      <c r="G15" s="402">
        <v>303.96860121645483</v>
      </c>
    </row>
    <row r="16" spans="1:8" customFormat="1" x14ac:dyDescent="0.35">
      <c r="A16" s="435" t="s">
        <v>999</v>
      </c>
      <c r="B16" s="404" t="s">
        <v>1037</v>
      </c>
      <c r="C16" s="402"/>
      <c r="D16" s="402">
        <v>1.3146700685601052</v>
      </c>
      <c r="E16" s="402"/>
      <c r="F16" s="402"/>
      <c r="G16" s="402">
        <v>1.3146700685601052</v>
      </c>
    </row>
    <row r="17" spans="1:7" customFormat="1" x14ac:dyDescent="0.35">
      <c r="A17" s="435" t="s">
        <v>1073</v>
      </c>
      <c r="B17" s="404" t="s">
        <v>1037</v>
      </c>
      <c r="C17" s="402"/>
      <c r="D17" s="402">
        <v>0.4648859782022437</v>
      </c>
      <c r="E17" s="402"/>
      <c r="F17" s="402"/>
      <c r="G17" s="402">
        <v>0.4648859782022437</v>
      </c>
    </row>
    <row r="18" spans="1:7" customFormat="1" x14ac:dyDescent="0.35">
      <c r="A18" s="435" t="s">
        <v>1578</v>
      </c>
      <c r="B18" s="404" t="s">
        <v>1034</v>
      </c>
      <c r="C18" s="402">
        <v>1.9567113538767062</v>
      </c>
      <c r="D18" s="402"/>
      <c r="E18" s="402"/>
      <c r="F18" s="402">
        <v>6.9449352444487502</v>
      </c>
      <c r="G18" s="402">
        <v>8.9016465983254562</v>
      </c>
    </row>
    <row r="19" spans="1:7" customFormat="1" x14ac:dyDescent="0.35">
      <c r="A19" s="435" t="s">
        <v>1579</v>
      </c>
      <c r="B19" s="404" t="s">
        <v>1034</v>
      </c>
      <c r="C19" s="402"/>
      <c r="D19" s="402"/>
      <c r="E19" s="402"/>
      <c r="F19" s="402">
        <v>16.923817066492312</v>
      </c>
      <c r="G19" s="402">
        <v>16.923817066492312</v>
      </c>
    </row>
    <row r="20" spans="1:7" customFormat="1" x14ac:dyDescent="0.35">
      <c r="A20" s="435" t="s">
        <v>1000</v>
      </c>
      <c r="B20" s="404" t="s">
        <v>1031</v>
      </c>
      <c r="C20" s="402">
        <v>8.9833381176054949</v>
      </c>
      <c r="D20" s="402"/>
      <c r="E20" s="402"/>
      <c r="F20" s="402">
        <v>161.60741432843449</v>
      </c>
      <c r="G20" s="402">
        <v>170.59075244603997</v>
      </c>
    </row>
    <row r="21" spans="1:7" customFormat="1" x14ac:dyDescent="0.35">
      <c r="A21" s="435" t="s">
        <v>1001</v>
      </c>
      <c r="B21" s="404" t="s">
        <v>1033</v>
      </c>
      <c r="C21" s="402">
        <v>22.640956454658266</v>
      </c>
      <c r="D21" s="402"/>
      <c r="E21" s="402"/>
      <c r="F21" s="402">
        <v>10.097144162850691</v>
      </c>
      <c r="G21" s="402">
        <v>32.738100617508955</v>
      </c>
    </row>
    <row r="22" spans="1:7" customFormat="1" x14ac:dyDescent="0.35">
      <c r="A22" s="435" t="s">
        <v>987</v>
      </c>
      <c r="B22" s="404" t="s">
        <v>1033</v>
      </c>
      <c r="C22" s="402">
        <v>154.61274485661033</v>
      </c>
      <c r="D22" s="402">
        <v>18.441861285284695</v>
      </c>
      <c r="E22" s="402">
        <v>23.839570130678105</v>
      </c>
      <c r="F22" s="402">
        <v>262.55096373895418</v>
      </c>
      <c r="G22" s="402">
        <v>459.44514001152731</v>
      </c>
    </row>
    <row r="23" spans="1:7" customFormat="1" x14ac:dyDescent="0.35">
      <c r="A23" s="435" t="s">
        <v>988</v>
      </c>
      <c r="B23" s="404" t="s">
        <v>1033</v>
      </c>
      <c r="C23" s="402"/>
      <c r="D23" s="402"/>
      <c r="E23" s="402"/>
      <c r="F23" s="402">
        <v>2.9348568350466357</v>
      </c>
      <c r="G23" s="402">
        <v>2.9348568350466357</v>
      </c>
    </row>
    <row r="24" spans="1:7" customFormat="1" x14ac:dyDescent="0.35">
      <c r="A24" s="435" t="s">
        <v>1075</v>
      </c>
      <c r="B24" s="404" t="s">
        <v>1033</v>
      </c>
      <c r="C24" s="402"/>
      <c r="D24" s="402">
        <v>10.781622595519242</v>
      </c>
      <c r="E24" s="402">
        <v>3.710938628356593</v>
      </c>
      <c r="F24" s="402">
        <v>22.416373581118464</v>
      </c>
      <c r="G24" s="402">
        <v>36.908934804994303</v>
      </c>
    </row>
    <row r="25" spans="1:7" customFormat="1" x14ac:dyDescent="0.35">
      <c r="A25" s="435" t="s">
        <v>1002</v>
      </c>
      <c r="B25" s="404" t="s">
        <v>1033</v>
      </c>
      <c r="C25" s="402"/>
      <c r="D25" s="402"/>
      <c r="E25" s="402"/>
      <c r="F25" s="402">
        <v>1.8158699973593178</v>
      </c>
      <c r="G25" s="402">
        <v>1.8158699973593178</v>
      </c>
    </row>
    <row r="26" spans="1:7" customFormat="1" x14ac:dyDescent="0.35">
      <c r="A26" s="435" t="s">
        <v>1580</v>
      </c>
      <c r="B26" s="404" t="s">
        <v>1034</v>
      </c>
      <c r="C26" s="402"/>
      <c r="D26" s="402"/>
      <c r="E26" s="402"/>
      <c r="F26" s="402">
        <v>73.110187340458552</v>
      </c>
      <c r="G26" s="402">
        <v>73.110187340458552</v>
      </c>
    </row>
    <row r="27" spans="1:7" customFormat="1" x14ac:dyDescent="0.35">
      <c r="A27" s="435" t="s">
        <v>1003</v>
      </c>
      <c r="B27" s="404" t="s">
        <v>1032</v>
      </c>
      <c r="C27" s="402">
        <v>0.87203946424398904</v>
      </c>
      <c r="D27" s="402">
        <v>0.11920942867608</v>
      </c>
      <c r="E27" s="402"/>
      <c r="F27" s="402">
        <v>1.053806174469861</v>
      </c>
      <c r="G27" s="402">
        <v>2.0450550673899301</v>
      </c>
    </row>
    <row r="28" spans="1:7" customFormat="1" x14ac:dyDescent="0.35">
      <c r="A28" s="435" t="s">
        <v>1581</v>
      </c>
      <c r="B28" s="404" t="s">
        <v>1034</v>
      </c>
      <c r="C28" s="402"/>
      <c r="D28" s="402"/>
      <c r="E28" s="402"/>
      <c r="F28" s="402">
        <v>30.485691544250493</v>
      </c>
      <c r="G28" s="402">
        <v>30.485691544250493</v>
      </c>
    </row>
    <row r="29" spans="1:7" customFormat="1" x14ac:dyDescent="0.35">
      <c r="A29" s="435" t="s">
        <v>1582</v>
      </c>
      <c r="B29" s="404" t="s">
        <v>1034</v>
      </c>
      <c r="C29" s="402"/>
      <c r="D29" s="402"/>
      <c r="E29" s="402"/>
      <c r="F29" s="402">
        <v>13.747580361204843</v>
      </c>
      <c r="G29" s="402">
        <v>13.747580361204843</v>
      </c>
    </row>
    <row r="30" spans="1:7" customFormat="1" x14ac:dyDescent="0.35">
      <c r="A30" s="435" t="s">
        <v>1004</v>
      </c>
      <c r="B30" s="404" t="s">
        <v>1038</v>
      </c>
      <c r="C30" s="402">
        <v>18.866373428522248</v>
      </c>
      <c r="D30" s="402"/>
      <c r="E30" s="402"/>
      <c r="F30" s="402">
        <v>16.544974065399188</v>
      </c>
      <c r="G30" s="402">
        <v>35.41134749392144</v>
      </c>
    </row>
    <row r="31" spans="1:7" customFormat="1" x14ac:dyDescent="0.35">
      <c r="A31" s="435" t="s">
        <v>1005</v>
      </c>
      <c r="B31" s="404" t="s">
        <v>1038</v>
      </c>
      <c r="C31" s="402"/>
      <c r="D31" s="402">
        <v>11.39007926587832</v>
      </c>
      <c r="E31" s="402">
        <v>37.743927567085251</v>
      </c>
      <c r="F31" s="402"/>
      <c r="G31" s="402">
        <v>49.134006832963571</v>
      </c>
    </row>
    <row r="32" spans="1:7" customFormat="1" x14ac:dyDescent="0.35">
      <c r="A32" s="435" t="s">
        <v>1006</v>
      </c>
      <c r="B32" s="404" t="s">
        <v>1038</v>
      </c>
      <c r="C32" s="402"/>
      <c r="D32" s="402">
        <v>23.269245562629674</v>
      </c>
      <c r="E32" s="402">
        <v>16.723139020814433</v>
      </c>
      <c r="F32" s="402"/>
      <c r="G32" s="402">
        <v>39.992384583444107</v>
      </c>
    </row>
    <row r="33" spans="1:7" customFormat="1" x14ac:dyDescent="0.35">
      <c r="A33" s="435" t="s">
        <v>1078</v>
      </c>
      <c r="B33" s="404" t="s">
        <v>1038</v>
      </c>
      <c r="C33" s="402"/>
      <c r="D33" s="402">
        <v>12.85882410510545</v>
      </c>
      <c r="E33" s="402">
        <v>73.606923031613121</v>
      </c>
      <c r="F33" s="402"/>
      <c r="G33" s="402">
        <v>86.465747136718576</v>
      </c>
    </row>
    <row r="34" spans="1:7" customFormat="1" x14ac:dyDescent="0.35">
      <c r="A34" s="435" t="s">
        <v>1007</v>
      </c>
      <c r="B34" s="404" t="s">
        <v>1038</v>
      </c>
      <c r="C34" s="402"/>
      <c r="D34" s="402"/>
      <c r="E34" s="402"/>
      <c r="F34" s="402">
        <v>66.796144073680466</v>
      </c>
      <c r="G34" s="402">
        <v>66.796144073680466</v>
      </c>
    </row>
    <row r="35" spans="1:7" customFormat="1" x14ac:dyDescent="0.35">
      <c r="A35" s="435" t="s">
        <v>1079</v>
      </c>
      <c r="B35" s="404" t="s">
        <v>1038</v>
      </c>
      <c r="C35" s="402"/>
      <c r="D35" s="402"/>
      <c r="E35" s="402">
        <v>47.512764885858864</v>
      </c>
      <c r="F35" s="402"/>
      <c r="G35" s="402">
        <v>47.512764885858864</v>
      </c>
    </row>
    <row r="36" spans="1:7" customFormat="1" x14ac:dyDescent="0.35">
      <c r="A36" s="435" t="s">
        <v>1008</v>
      </c>
      <c r="B36" s="404" t="s">
        <v>1038</v>
      </c>
      <c r="C36" s="402">
        <v>33.790940669203245</v>
      </c>
      <c r="D36" s="402"/>
      <c r="E36" s="402"/>
      <c r="F36" s="402">
        <v>49.340501350150191</v>
      </c>
      <c r="G36" s="402">
        <v>83.131442019353443</v>
      </c>
    </row>
    <row r="37" spans="1:7" customFormat="1" x14ac:dyDescent="0.35">
      <c r="A37" s="435" t="s">
        <v>1080</v>
      </c>
      <c r="B37" s="404" t="s">
        <v>1038</v>
      </c>
      <c r="C37" s="402"/>
      <c r="D37" s="402">
        <v>32.205020958443356</v>
      </c>
      <c r="E37" s="402">
        <v>1.3236361083631626E-2</v>
      </c>
      <c r="F37" s="402"/>
      <c r="G37" s="402">
        <v>32.218257319526991</v>
      </c>
    </row>
    <row r="38" spans="1:7" customFormat="1" x14ac:dyDescent="0.35">
      <c r="A38" s="435" t="s">
        <v>1009</v>
      </c>
      <c r="B38" s="404" t="s">
        <v>1038</v>
      </c>
      <c r="C38" s="402">
        <v>64.138039906800785</v>
      </c>
      <c r="D38" s="402"/>
      <c r="E38" s="402"/>
      <c r="F38" s="402">
        <v>19.421474183231584</v>
      </c>
      <c r="G38" s="402">
        <v>83.559514090032366</v>
      </c>
    </row>
    <row r="39" spans="1:7" customFormat="1" x14ac:dyDescent="0.35">
      <c r="A39" s="435" t="s">
        <v>1010</v>
      </c>
      <c r="B39" s="404" t="s">
        <v>1038</v>
      </c>
      <c r="C39" s="402">
        <v>23.385558583907908</v>
      </c>
      <c r="D39" s="402"/>
      <c r="E39" s="402"/>
      <c r="F39" s="402">
        <v>5.0758773687240186</v>
      </c>
      <c r="G39" s="402">
        <v>28.461435952631927</v>
      </c>
    </row>
    <row r="40" spans="1:7" customFormat="1" x14ac:dyDescent="0.35">
      <c r="A40" s="435" t="s">
        <v>1011</v>
      </c>
      <c r="B40" s="404" t="s">
        <v>1033</v>
      </c>
      <c r="C40" s="402">
        <v>10.658297721013133</v>
      </c>
      <c r="D40" s="402"/>
      <c r="E40" s="402"/>
      <c r="F40" s="402">
        <v>1.6460841051731891</v>
      </c>
      <c r="G40" s="402">
        <v>12.304381826186322</v>
      </c>
    </row>
    <row r="41" spans="1:7" customFormat="1" x14ac:dyDescent="0.35">
      <c r="A41" s="435" t="s">
        <v>1012</v>
      </c>
      <c r="B41" s="404" t="s">
        <v>1038</v>
      </c>
      <c r="C41" s="402">
        <v>3.1790547189011469</v>
      </c>
      <c r="D41" s="402">
        <v>7.5987363418185732</v>
      </c>
      <c r="E41" s="402"/>
      <c r="F41" s="402"/>
      <c r="G41" s="402">
        <v>10.77779106071972</v>
      </c>
    </row>
    <row r="42" spans="1:7" customFormat="1" x14ac:dyDescent="0.35">
      <c r="A42" s="435" t="s">
        <v>1013</v>
      </c>
      <c r="B42" s="404" t="s">
        <v>1038</v>
      </c>
      <c r="C42" s="402">
        <v>6.139121479085631</v>
      </c>
      <c r="D42" s="402">
        <v>8.3681407033174633</v>
      </c>
      <c r="E42" s="402"/>
      <c r="F42" s="402"/>
      <c r="G42" s="402">
        <v>14.507262182403094</v>
      </c>
    </row>
    <row r="43" spans="1:7" customFormat="1" x14ac:dyDescent="0.35">
      <c r="A43" s="435" t="s">
        <v>1081</v>
      </c>
      <c r="B43" s="404" t="s">
        <v>1038</v>
      </c>
      <c r="C43" s="402"/>
      <c r="D43" s="402"/>
      <c r="E43" s="402">
        <v>2.17807588817278</v>
      </c>
      <c r="F43" s="402"/>
      <c r="G43" s="402">
        <v>2.17807588817278</v>
      </c>
    </row>
    <row r="44" spans="1:7" customFormat="1" x14ac:dyDescent="0.35">
      <c r="A44" s="435" t="s">
        <v>1014</v>
      </c>
      <c r="B44" s="404" t="s">
        <v>1035</v>
      </c>
      <c r="C44" s="402">
        <v>61.236998734773863</v>
      </c>
      <c r="D44" s="402">
        <v>1.8261016750428829</v>
      </c>
      <c r="E44" s="402">
        <v>0.98616125086442985</v>
      </c>
      <c r="F44" s="402">
        <v>65.532428210967382</v>
      </c>
      <c r="G44" s="402">
        <v>129.58168987164856</v>
      </c>
    </row>
    <row r="45" spans="1:7" customFormat="1" x14ac:dyDescent="0.35">
      <c r="A45" s="435" t="s">
        <v>1015</v>
      </c>
      <c r="B45" s="404" t="s">
        <v>1033</v>
      </c>
      <c r="C45" s="402">
        <v>24.56711079448274</v>
      </c>
      <c r="D45" s="402"/>
      <c r="E45" s="402"/>
      <c r="F45" s="402">
        <v>1.6457807298378146</v>
      </c>
      <c r="G45" s="402">
        <v>26.212891524320554</v>
      </c>
    </row>
    <row r="46" spans="1:7" customFormat="1" x14ac:dyDescent="0.35">
      <c r="A46" s="435" t="s">
        <v>1016</v>
      </c>
      <c r="B46" s="404" t="s">
        <v>1039</v>
      </c>
      <c r="C46" s="402">
        <v>4.7358585126298598</v>
      </c>
      <c r="D46" s="402"/>
      <c r="E46" s="402"/>
      <c r="F46" s="402"/>
      <c r="G46" s="402">
        <v>4.7358585126298598</v>
      </c>
    </row>
    <row r="47" spans="1:7" customFormat="1" x14ac:dyDescent="0.35">
      <c r="A47" s="435" t="s">
        <v>1017</v>
      </c>
      <c r="B47" s="404" t="s">
        <v>1033</v>
      </c>
      <c r="C47" s="402">
        <v>343.43349173416652</v>
      </c>
      <c r="D47" s="402">
        <v>33.694668628525513</v>
      </c>
      <c r="E47" s="402">
        <v>162.52272023158162</v>
      </c>
      <c r="F47" s="402"/>
      <c r="G47" s="402">
        <v>539.65088059427364</v>
      </c>
    </row>
    <row r="48" spans="1:7" customFormat="1" x14ac:dyDescent="0.35">
      <c r="A48" s="435" t="s">
        <v>1018</v>
      </c>
      <c r="B48" s="404" t="s">
        <v>1042</v>
      </c>
      <c r="C48" s="402">
        <v>541.10889731027089</v>
      </c>
      <c r="D48" s="402"/>
      <c r="E48" s="402"/>
      <c r="F48" s="402">
        <v>478.21650575691854</v>
      </c>
      <c r="G48" s="402">
        <v>1019.3254030671894</v>
      </c>
    </row>
    <row r="49" spans="1:10" x14ac:dyDescent="0.35">
      <c r="A49" s="435" t="s">
        <v>1082</v>
      </c>
      <c r="B49" s="404" t="s">
        <v>1041</v>
      </c>
      <c r="C49" s="402">
        <v>5.6983027186284687</v>
      </c>
      <c r="D49" s="402"/>
      <c r="E49" s="402"/>
      <c r="F49" s="402">
        <v>48.980887423248262</v>
      </c>
      <c r="G49" s="402">
        <v>54.679190141876731</v>
      </c>
      <c r="J49"/>
    </row>
    <row r="50" spans="1:10" x14ac:dyDescent="0.35">
      <c r="A50" s="435" t="s">
        <v>1099</v>
      </c>
      <c r="B50" s="404" t="s">
        <v>1041</v>
      </c>
      <c r="C50" s="402">
        <v>0.61557952762189783</v>
      </c>
      <c r="D50" s="402"/>
      <c r="E50" s="402"/>
      <c r="F50" s="402">
        <v>4.9498684141170042</v>
      </c>
      <c r="G50" s="402">
        <v>5.5654479417389018</v>
      </c>
      <c r="J50"/>
    </row>
    <row r="51" spans="1:10" x14ac:dyDescent="0.35">
      <c r="A51" s="435" t="s">
        <v>1083</v>
      </c>
      <c r="B51" s="404" t="s">
        <v>1041</v>
      </c>
      <c r="C51" s="402">
        <v>1.7365309721661581</v>
      </c>
      <c r="D51" s="402"/>
      <c r="E51" s="402"/>
      <c r="F51" s="402">
        <v>104.41647141056301</v>
      </c>
      <c r="G51" s="402">
        <v>106.15300238272917</v>
      </c>
      <c r="J51"/>
    </row>
    <row r="52" spans="1:10" x14ac:dyDescent="0.35">
      <c r="A52" s="435" t="s">
        <v>1084</v>
      </c>
      <c r="B52" s="404" t="s">
        <v>1041</v>
      </c>
      <c r="C52" s="402"/>
      <c r="D52" s="402"/>
      <c r="E52" s="402"/>
      <c r="F52" s="402">
        <v>41.966586799865325</v>
      </c>
      <c r="G52" s="402">
        <v>41.966586799865325</v>
      </c>
      <c r="H52"/>
      <c r="J52"/>
    </row>
    <row r="53" spans="1:10" x14ac:dyDescent="0.35">
      <c r="A53" s="435" t="s">
        <v>1085</v>
      </c>
      <c r="B53" s="404" t="s">
        <v>1041</v>
      </c>
      <c r="C53" s="402"/>
      <c r="D53" s="402"/>
      <c r="E53" s="402"/>
      <c r="F53" s="402">
        <v>9.3814150566480432</v>
      </c>
      <c r="G53" s="402">
        <v>9.3814150566480432</v>
      </c>
      <c r="H53"/>
      <c r="J53"/>
    </row>
    <row r="54" spans="1:10" x14ac:dyDescent="0.35">
      <c r="A54" s="435" t="s">
        <v>1086</v>
      </c>
      <c r="B54" s="404" t="s">
        <v>1041</v>
      </c>
      <c r="C54" s="402">
        <v>2.6159396358986844</v>
      </c>
      <c r="D54" s="402"/>
      <c r="E54" s="402"/>
      <c r="F54" s="402">
        <v>23.859924140765283</v>
      </c>
      <c r="G54" s="402">
        <v>26.475863776663967</v>
      </c>
      <c r="H54"/>
      <c r="J54"/>
    </row>
    <row r="55" spans="1:10" x14ac:dyDescent="0.35">
      <c r="A55" s="435" t="s">
        <v>1019</v>
      </c>
      <c r="B55" s="404" t="s">
        <v>1040</v>
      </c>
      <c r="C55" s="402">
        <v>80.680009335378159</v>
      </c>
      <c r="D55" s="402"/>
      <c r="E55" s="402"/>
      <c r="F55" s="402"/>
      <c r="G55" s="402">
        <v>80.680009335378159</v>
      </c>
      <c r="H55"/>
      <c r="J55"/>
    </row>
    <row r="56" spans="1:10" x14ac:dyDescent="0.35">
      <c r="A56" s="435" t="s">
        <v>1087</v>
      </c>
      <c r="B56" s="404" t="s">
        <v>1041</v>
      </c>
      <c r="C56" s="402">
        <v>26.626057999458883</v>
      </c>
      <c r="D56" s="402"/>
      <c r="E56" s="402"/>
      <c r="F56" s="402">
        <v>15.460397135785417</v>
      </c>
      <c r="G56" s="402">
        <v>42.0864551352443</v>
      </c>
      <c r="H56"/>
      <c r="J56"/>
    </row>
    <row r="57" spans="1:10" x14ac:dyDescent="0.35">
      <c r="A57" s="435" t="s">
        <v>1100</v>
      </c>
      <c r="B57" s="404" t="s">
        <v>1041</v>
      </c>
      <c r="C57" s="402">
        <v>5.381929764421856</v>
      </c>
      <c r="D57" s="402"/>
      <c r="E57" s="402"/>
      <c r="F57" s="402">
        <v>2.0280452358756156</v>
      </c>
      <c r="G57" s="402">
        <v>7.4099750002974716</v>
      </c>
      <c r="H57"/>
      <c r="J57"/>
    </row>
    <row r="58" spans="1:10" x14ac:dyDescent="0.35">
      <c r="A58" s="435" t="s">
        <v>1088</v>
      </c>
      <c r="B58" s="404" t="s">
        <v>1041</v>
      </c>
      <c r="C58" s="402">
        <v>68.437958751470731</v>
      </c>
      <c r="D58" s="402"/>
      <c r="E58" s="402"/>
      <c r="F58" s="402">
        <v>107.7192706778882</v>
      </c>
      <c r="G58" s="402">
        <v>176.15722942935895</v>
      </c>
      <c r="H58"/>
      <c r="J58"/>
    </row>
    <row r="59" spans="1:10" x14ac:dyDescent="0.35">
      <c r="A59" s="435" t="s">
        <v>1089</v>
      </c>
      <c r="B59" s="404" t="s">
        <v>1041</v>
      </c>
      <c r="C59" s="402"/>
      <c r="D59" s="402"/>
      <c r="E59" s="402"/>
      <c r="F59" s="402">
        <v>28.007319912492264</v>
      </c>
      <c r="G59" s="402">
        <v>28.007319912492264</v>
      </c>
      <c r="H59"/>
      <c r="J59"/>
    </row>
    <row r="60" spans="1:10" x14ac:dyDescent="0.35">
      <c r="A60" s="435" t="s">
        <v>1090</v>
      </c>
      <c r="B60" s="404" t="s">
        <v>1041</v>
      </c>
      <c r="C60" s="402"/>
      <c r="D60" s="402"/>
      <c r="E60" s="402"/>
      <c r="F60" s="402">
        <v>4.6483608749575263</v>
      </c>
      <c r="G60" s="402">
        <v>4.6483608749575263</v>
      </c>
      <c r="H60"/>
    </row>
    <row r="61" spans="1:10" x14ac:dyDescent="0.35">
      <c r="A61" s="435" t="s">
        <v>1101</v>
      </c>
      <c r="B61" s="404" t="s">
        <v>1041</v>
      </c>
      <c r="C61" s="402">
        <v>2.9989760990129124</v>
      </c>
      <c r="D61" s="402"/>
      <c r="E61" s="402"/>
      <c r="F61" s="402">
        <v>3.5744139377020359</v>
      </c>
      <c r="G61" s="402">
        <v>6.5733900367149483</v>
      </c>
      <c r="H61"/>
    </row>
    <row r="62" spans="1:10" x14ac:dyDescent="0.35">
      <c r="A62" s="435" t="s">
        <v>1091</v>
      </c>
      <c r="B62" s="404" t="s">
        <v>1041</v>
      </c>
      <c r="C62" s="402">
        <v>17.274148203763804</v>
      </c>
      <c r="D62" s="402"/>
      <c r="E62" s="402"/>
      <c r="F62" s="402">
        <v>17.942208804617561</v>
      </c>
      <c r="G62" s="402">
        <v>35.216357008381365</v>
      </c>
      <c r="H62"/>
      <c r="J62"/>
    </row>
    <row r="63" spans="1:10" x14ac:dyDescent="0.35">
      <c r="A63" s="60" t="s">
        <v>1103</v>
      </c>
      <c r="B63" s="404" t="s">
        <v>1040</v>
      </c>
      <c r="C63" s="402">
        <v>83.880736376009324</v>
      </c>
      <c r="D63" s="402"/>
      <c r="E63" s="402"/>
      <c r="F63" s="402"/>
      <c r="G63" s="402">
        <v>83.880736376009324</v>
      </c>
      <c r="H63"/>
      <c r="J63"/>
    </row>
    <row r="64" spans="1:10" x14ac:dyDescent="0.35">
      <c r="A64" s="435" t="s">
        <v>1021</v>
      </c>
      <c r="B64" s="404" t="s">
        <v>1040</v>
      </c>
      <c r="C64" s="402">
        <v>369.51792669270696</v>
      </c>
      <c r="D64" s="402"/>
      <c r="E64" s="402"/>
      <c r="F64" s="402">
        <v>34.065190811976699</v>
      </c>
      <c r="G64" s="402">
        <v>403.58311750468368</v>
      </c>
      <c r="J64"/>
    </row>
    <row r="65" spans="1:15" x14ac:dyDescent="0.35">
      <c r="A65" s="435" t="s">
        <v>1092</v>
      </c>
      <c r="B65" s="404" t="s">
        <v>1041</v>
      </c>
      <c r="C65" s="402">
        <v>68.971925895276726</v>
      </c>
      <c r="D65" s="402"/>
      <c r="E65" s="402"/>
      <c r="F65" s="402">
        <v>6.2953708903346488</v>
      </c>
      <c r="G65" s="402">
        <v>75.267296785611379</v>
      </c>
      <c r="H65"/>
    </row>
    <row r="66" spans="1:15" x14ac:dyDescent="0.35">
      <c r="A66" s="435" t="s">
        <v>1102</v>
      </c>
      <c r="B66" s="404" t="s">
        <v>1041</v>
      </c>
      <c r="C66" s="402">
        <v>7.7409159520992885</v>
      </c>
      <c r="D66" s="402"/>
      <c r="E66" s="402"/>
      <c r="F66" s="402">
        <v>0.63297628116472082</v>
      </c>
      <c r="G66" s="402">
        <v>8.3738922332640087</v>
      </c>
      <c r="H66"/>
    </row>
    <row r="67" spans="1:15" x14ac:dyDescent="0.35">
      <c r="A67" s="435" t="s">
        <v>1093</v>
      </c>
      <c r="B67" s="404" t="s">
        <v>1041</v>
      </c>
      <c r="C67" s="402">
        <v>6.2516875786832156</v>
      </c>
      <c r="D67" s="402"/>
      <c r="E67" s="402"/>
      <c r="F67" s="402">
        <v>0.98147098586087622</v>
      </c>
      <c r="G67" s="402">
        <v>7.2331585645440919</v>
      </c>
      <c r="H67"/>
    </row>
    <row r="68" spans="1:15" s="5" customFormat="1" x14ac:dyDescent="0.35">
      <c r="A68" s="435" t="s">
        <v>1094</v>
      </c>
      <c r="B68" s="404" t="s">
        <v>1041</v>
      </c>
      <c r="C68" s="402">
        <v>2.6484601958251504</v>
      </c>
      <c r="D68" s="402"/>
      <c r="E68" s="402"/>
      <c r="F68" s="402">
        <v>1.6169595554781685E-4</v>
      </c>
      <c r="G68" s="402">
        <v>2.6486218917806981</v>
      </c>
      <c r="I68"/>
      <c r="J68"/>
      <c r="K68"/>
      <c r="L68"/>
      <c r="M68"/>
      <c r="N68"/>
      <c r="O68"/>
    </row>
    <row r="69" spans="1:15" x14ac:dyDescent="0.35">
      <c r="A69" s="435" t="s">
        <v>1095</v>
      </c>
      <c r="B69" s="404" t="s">
        <v>1041</v>
      </c>
      <c r="C69" s="402">
        <v>22.033277312948766</v>
      </c>
      <c r="D69" s="402"/>
      <c r="E69" s="402"/>
      <c r="F69" s="402"/>
      <c r="G69" s="402">
        <v>22.033277312948766</v>
      </c>
      <c r="H69"/>
      <c r="J69"/>
    </row>
    <row r="70" spans="1:15" x14ac:dyDescent="0.35">
      <c r="A70" s="435" t="s">
        <v>1096</v>
      </c>
      <c r="B70" s="404" t="s">
        <v>1041</v>
      </c>
      <c r="C70" s="402">
        <v>55.160483212277619</v>
      </c>
      <c r="D70" s="402"/>
      <c r="E70" s="402"/>
      <c r="F70" s="402">
        <v>5.0766548779740415</v>
      </c>
      <c r="G70" s="402">
        <v>60.237138090251662</v>
      </c>
      <c r="H70"/>
      <c r="J70"/>
    </row>
    <row r="71" spans="1:15" x14ac:dyDescent="0.35">
      <c r="A71" s="435" t="s">
        <v>1097</v>
      </c>
      <c r="B71" s="404" t="s">
        <v>1040</v>
      </c>
      <c r="C71" s="402">
        <v>4.5748874910940556</v>
      </c>
      <c r="D71" s="402"/>
      <c r="E71" s="402"/>
      <c r="F71" s="402"/>
      <c r="G71" s="402">
        <v>4.5748874910940556</v>
      </c>
      <c r="H71"/>
    </row>
    <row r="72" spans="1:15" x14ac:dyDescent="0.35">
      <c r="A72" s="48" t="s">
        <v>992</v>
      </c>
      <c r="B72" s="48"/>
      <c r="C72" s="494">
        <f>SUM(C8:C71)</f>
        <v>2356.8340023566548</v>
      </c>
      <c r="D72" s="494">
        <f>SUM(D8:D71)</f>
        <v>713.64105252840648</v>
      </c>
      <c r="E72" s="494">
        <f>SUM(E8:E71)</f>
        <v>455.11647686194203</v>
      </c>
      <c r="F72" s="494">
        <f>SUM(F8:F71)</f>
        <v>2610.0223125221405</v>
      </c>
      <c r="G72" s="494">
        <f>SUM(G8:G71)</f>
        <v>6135.6138442691426</v>
      </c>
      <c r="H72" s="50"/>
    </row>
    <row r="73" spans="1:15" x14ac:dyDescent="0.35">
      <c r="F73"/>
      <c r="J73"/>
    </row>
    <row r="74" spans="1:15" x14ac:dyDescent="0.35">
      <c r="E74" s="619" t="s">
        <v>990</v>
      </c>
      <c r="F74" s="620">
        <f>G11+G12+G26+G28+G29</f>
        <v>212.47867502341833</v>
      </c>
      <c r="J74"/>
    </row>
    <row r="75" spans="1:15" x14ac:dyDescent="0.35">
      <c r="E75" s="621" t="s">
        <v>989</v>
      </c>
      <c r="F75" s="622">
        <f>G9+G10+G15+G18</f>
        <v>996.8540068975517</v>
      </c>
      <c r="J75"/>
    </row>
    <row r="76" spans="1:15" x14ac:dyDescent="0.35">
      <c r="E76" s="623" t="s">
        <v>991</v>
      </c>
      <c r="F76" s="623">
        <v>17</v>
      </c>
    </row>
    <row r="77" spans="1:15" x14ac:dyDescent="0.35">
      <c r="D77" s="5" t="s">
        <v>1561</v>
      </c>
      <c r="E77" s="2"/>
      <c r="F77" s="374">
        <f>F72-F9-F10-F11-F12-F15-F18-F19-F26-F28-F29+C27+D27</f>
        <v>1687.2698549878617</v>
      </c>
      <c r="G77" s="385">
        <f>1687*500</f>
        <v>843500</v>
      </c>
      <c r="I77" s="5" t="s">
        <v>1502</v>
      </c>
    </row>
    <row r="78" spans="1:15" x14ac:dyDescent="0.35">
      <c r="H78" s="51"/>
    </row>
    <row r="80" spans="1:15" x14ac:dyDescent="0.35">
      <c r="B80" t="s">
        <v>3</v>
      </c>
    </row>
    <row r="104" spans="2:2" x14ac:dyDescent="0.35">
      <c r="B104" t="s">
        <v>7</v>
      </c>
    </row>
    <row r="128" spans="2:2" x14ac:dyDescent="0.35">
      <c r="B128" t="s">
        <v>8</v>
      </c>
    </row>
    <row r="130" spans="6:8" x14ac:dyDescent="0.35">
      <c r="F130" s="3"/>
      <c r="H130" s="3"/>
    </row>
    <row r="168" spans="2:8" ht="15" thickBot="1" x14ac:dyDescent="0.4"/>
    <row r="169" spans="2:8" x14ac:dyDescent="0.35">
      <c r="B169" s="7" t="s">
        <v>358</v>
      </c>
      <c r="C169" s="8"/>
      <c r="D169" s="8"/>
      <c r="E169" s="8"/>
      <c r="F169" s="9"/>
      <c r="G169" s="8"/>
      <c r="H169" s="10"/>
    </row>
    <row r="170" spans="2:8" x14ac:dyDescent="0.35">
      <c r="B170" s="11"/>
      <c r="C170" t="s">
        <v>5</v>
      </c>
      <c r="F170" s="2" t="s">
        <v>359</v>
      </c>
      <c r="H170" s="12"/>
    </row>
    <row r="171" spans="2:8" x14ac:dyDescent="0.35">
      <c r="B171" s="11"/>
      <c r="D171" t="s">
        <v>9</v>
      </c>
      <c r="F171" s="6">
        <v>474700</v>
      </c>
      <c r="H171" s="12"/>
    </row>
    <row r="172" spans="2:8" x14ac:dyDescent="0.35">
      <c r="B172" s="11"/>
      <c r="D172" t="s">
        <v>10</v>
      </c>
      <c r="F172" s="6">
        <f>115100-25000</f>
        <v>90100</v>
      </c>
      <c r="H172" s="12"/>
    </row>
    <row r="173" spans="2:8" x14ac:dyDescent="0.35">
      <c r="B173" s="11"/>
      <c r="D173" t="s">
        <v>11</v>
      </c>
      <c r="F173" s="104">
        <v>0</v>
      </c>
      <c r="H173" s="12"/>
    </row>
    <row r="174" spans="2:8" x14ac:dyDescent="0.35">
      <c r="B174" s="11"/>
      <c r="E174" t="s">
        <v>83</v>
      </c>
      <c r="F174" s="6">
        <f>SUM(F171:F173)</f>
        <v>564800</v>
      </c>
      <c r="H174" s="12"/>
    </row>
    <row r="175" spans="2:8" x14ac:dyDescent="0.35">
      <c r="B175" s="11"/>
      <c r="C175" t="s">
        <v>6</v>
      </c>
      <c r="F175" s="6"/>
      <c r="H175" s="12"/>
    </row>
    <row r="176" spans="2:8" x14ac:dyDescent="0.35">
      <c r="B176" s="11"/>
      <c r="D176" t="s">
        <v>12</v>
      </c>
      <c r="F176" s="6">
        <v>20000000</v>
      </c>
      <c r="H176" s="12"/>
    </row>
    <row r="177" spans="2:10" x14ac:dyDescent="0.35">
      <c r="B177" s="11"/>
      <c r="D177" t="s">
        <v>13</v>
      </c>
      <c r="F177" s="104">
        <v>1551000</v>
      </c>
      <c r="H177" s="12"/>
    </row>
    <row r="178" spans="2:10" x14ac:dyDescent="0.35">
      <c r="B178" s="11"/>
      <c r="E178" t="s">
        <v>83</v>
      </c>
      <c r="F178" s="6">
        <f>SUM(F176:F177)</f>
        <v>21551000</v>
      </c>
      <c r="H178" s="12"/>
    </row>
    <row r="179" spans="2:10" x14ac:dyDescent="0.35">
      <c r="B179" s="11"/>
      <c r="C179" t="s">
        <v>14</v>
      </c>
      <c r="F179" s="6">
        <v>0</v>
      </c>
      <c r="H179" s="12"/>
    </row>
    <row r="180" spans="2:10" ht="15" thickBot="1" x14ac:dyDescent="0.4">
      <c r="B180" s="13"/>
      <c r="C180" s="14"/>
      <c r="D180" s="14"/>
      <c r="E180" s="14"/>
      <c r="F180" s="15"/>
      <c r="G180" s="14"/>
      <c r="H180" s="16"/>
    </row>
    <row r="182" spans="2:10" ht="15" thickBot="1" x14ac:dyDescent="0.4"/>
    <row r="183" spans="2:10" x14ac:dyDescent="0.35">
      <c r="B183" s="7" t="s">
        <v>372</v>
      </c>
      <c r="C183" s="8"/>
      <c r="D183" s="8"/>
      <c r="E183" s="8"/>
      <c r="F183" s="9"/>
      <c r="G183" s="8"/>
      <c r="H183" s="9"/>
      <c r="I183" s="8"/>
      <c r="J183" s="10"/>
    </row>
    <row r="184" spans="2:10" x14ac:dyDescent="0.35">
      <c r="B184" s="11"/>
      <c r="J184" s="12"/>
    </row>
    <row r="185" spans="2:10" x14ac:dyDescent="0.35">
      <c r="B185" s="11" t="s">
        <v>362</v>
      </c>
      <c r="J185" s="12"/>
    </row>
    <row r="186" spans="2:10" x14ac:dyDescent="0.35">
      <c r="B186" s="11"/>
      <c r="F186" s="2" t="s">
        <v>368</v>
      </c>
      <c r="J186" s="12"/>
    </row>
    <row r="187" spans="2:10" x14ac:dyDescent="0.35">
      <c r="B187" s="11" t="s">
        <v>4</v>
      </c>
      <c r="E187" t="s">
        <v>367</v>
      </c>
      <c r="F187" s="2">
        <v>0.02</v>
      </c>
      <c r="J187" s="12"/>
    </row>
    <row r="188" spans="2:10" x14ac:dyDescent="0.35">
      <c r="B188" s="11" t="s">
        <v>363</v>
      </c>
      <c r="E188" t="s">
        <v>367</v>
      </c>
      <c r="F188" s="4">
        <v>0.59</v>
      </c>
      <c r="J188" s="12"/>
    </row>
    <row r="189" spans="2:10" x14ac:dyDescent="0.35">
      <c r="B189" s="11"/>
      <c r="F189" s="2">
        <f>SUM(F187:F188)</f>
        <v>0.61</v>
      </c>
      <c r="J189" s="12"/>
    </row>
    <row r="190" spans="2:10" x14ac:dyDescent="0.35">
      <c r="B190" s="11"/>
      <c r="J190" s="12"/>
    </row>
    <row r="191" spans="2:10" x14ac:dyDescent="0.35">
      <c r="B191" s="11" t="s">
        <v>364</v>
      </c>
      <c r="E191" t="s">
        <v>369</v>
      </c>
      <c r="F191" s="2">
        <v>9.61</v>
      </c>
      <c r="J191" s="12"/>
    </row>
    <row r="192" spans="2:10" x14ac:dyDescent="0.35">
      <c r="B192" s="11" t="s">
        <v>365</v>
      </c>
      <c r="E192" t="s">
        <v>369</v>
      </c>
      <c r="F192" s="4">
        <v>7.2</v>
      </c>
      <c r="J192" s="12"/>
    </row>
    <row r="193" spans="2:10" x14ac:dyDescent="0.35">
      <c r="B193" s="11"/>
      <c r="F193" s="2">
        <f>SUM(F191:F192)</f>
        <v>16.809999999999999</v>
      </c>
      <c r="J193" s="12"/>
    </row>
    <row r="194" spans="2:10" ht="29" x14ac:dyDescent="0.35">
      <c r="B194" s="11" t="s">
        <v>361</v>
      </c>
      <c r="H194" s="3" t="s">
        <v>370</v>
      </c>
      <c r="I194" t="s">
        <v>371</v>
      </c>
      <c r="J194" s="12"/>
    </row>
    <row r="195" spans="2:10" x14ac:dyDescent="0.35">
      <c r="B195" s="11" t="s">
        <v>9</v>
      </c>
      <c r="E195" t="s">
        <v>367</v>
      </c>
      <c r="F195" s="2">
        <v>0.61</v>
      </c>
      <c r="H195" s="2">
        <f>F189</f>
        <v>0.61</v>
      </c>
      <c r="I195">
        <v>0</v>
      </c>
      <c r="J195" s="12"/>
    </row>
    <row r="196" spans="2:10" x14ac:dyDescent="0.35">
      <c r="B196" s="11"/>
      <c r="J196" s="12"/>
    </row>
    <row r="197" spans="2:10" x14ac:dyDescent="0.35">
      <c r="B197" s="11" t="s">
        <v>13</v>
      </c>
      <c r="E197" t="s">
        <v>369</v>
      </c>
      <c r="F197" s="2">
        <v>1.77</v>
      </c>
      <c r="J197" s="12"/>
    </row>
    <row r="198" spans="2:10" x14ac:dyDescent="0.35">
      <c r="B198" s="11" t="s">
        <v>366</v>
      </c>
      <c r="E198" t="s">
        <v>369</v>
      </c>
      <c r="F198" s="4">
        <v>20</v>
      </c>
      <c r="J198" s="12"/>
    </row>
    <row r="199" spans="2:10" x14ac:dyDescent="0.35">
      <c r="B199" s="11"/>
      <c r="F199" s="2">
        <f>SUM(F197:F198)</f>
        <v>21.77</v>
      </c>
      <c r="H199" s="2">
        <f>F193</f>
        <v>16.809999999999999</v>
      </c>
      <c r="I199">
        <f>F199-H199</f>
        <v>4.9600000000000009</v>
      </c>
      <c r="J199" s="12"/>
    </row>
    <row r="200" spans="2:10" ht="15" thickBot="1" x14ac:dyDescent="0.4">
      <c r="B200" s="13"/>
      <c r="C200" s="14"/>
      <c r="D200" s="14"/>
      <c r="E200" s="14"/>
      <c r="F200" s="15"/>
      <c r="G200" s="14"/>
      <c r="H200" s="15"/>
      <c r="I200" s="14"/>
      <c r="J200" s="16"/>
    </row>
    <row r="203" spans="2:10" ht="15" thickBot="1" x14ac:dyDescent="0.4"/>
    <row r="204" spans="2:10" x14ac:dyDescent="0.35">
      <c r="B204" s="625" t="s">
        <v>344</v>
      </c>
      <c r="C204" s="626"/>
      <c r="D204" s="626"/>
      <c r="E204" s="627"/>
    </row>
    <row r="205" spans="2:10" x14ac:dyDescent="0.35">
      <c r="B205" s="628" t="s">
        <v>345</v>
      </c>
      <c r="C205" s="630" t="s">
        <v>346</v>
      </c>
      <c r="D205" s="631"/>
      <c r="E205" s="632"/>
    </row>
    <row r="206" spans="2:10" ht="26" x14ac:dyDescent="0.35">
      <c r="B206" s="629"/>
      <c r="C206" s="110" t="s">
        <v>347</v>
      </c>
      <c r="D206" s="110" t="s">
        <v>348</v>
      </c>
      <c r="E206" s="113" t="s">
        <v>349</v>
      </c>
    </row>
    <row r="207" spans="2:10" x14ac:dyDescent="0.35">
      <c r="B207" s="114">
        <v>2031</v>
      </c>
      <c r="C207" s="112">
        <v>1122</v>
      </c>
      <c r="D207" s="111">
        <v>462</v>
      </c>
      <c r="E207" s="115">
        <v>220</v>
      </c>
    </row>
    <row r="208" spans="2:10" x14ac:dyDescent="0.35">
      <c r="B208" s="114">
        <v>2032</v>
      </c>
      <c r="C208" s="112">
        <v>1122</v>
      </c>
      <c r="D208" s="111">
        <v>462</v>
      </c>
      <c r="E208" s="115">
        <v>220</v>
      </c>
    </row>
    <row r="209" spans="2:5" x14ac:dyDescent="0.35">
      <c r="B209" s="114">
        <v>2033</v>
      </c>
      <c r="C209" s="112">
        <v>1179</v>
      </c>
      <c r="D209" s="111">
        <v>411</v>
      </c>
      <c r="E209" s="115">
        <v>213</v>
      </c>
    </row>
    <row r="210" spans="2:5" x14ac:dyDescent="0.35">
      <c r="B210" s="114">
        <v>2034</v>
      </c>
      <c r="C210" s="112">
        <v>1206</v>
      </c>
      <c r="D210" s="111">
        <v>387</v>
      </c>
      <c r="E210" s="115">
        <v>211</v>
      </c>
    </row>
    <row r="211" spans="2:5" x14ac:dyDescent="0.35">
      <c r="B211" s="114">
        <v>2035</v>
      </c>
      <c r="C211" s="112">
        <v>1216</v>
      </c>
      <c r="D211" s="111">
        <v>378</v>
      </c>
      <c r="E211" s="115">
        <v>209</v>
      </c>
    </row>
    <row r="212" spans="2:5" x14ac:dyDescent="0.35">
      <c r="B212" s="114">
        <v>2036</v>
      </c>
      <c r="C212" s="112">
        <v>1225</v>
      </c>
      <c r="D212" s="111">
        <v>371</v>
      </c>
      <c r="E212" s="115">
        <v>208</v>
      </c>
    </row>
    <row r="213" spans="2:5" x14ac:dyDescent="0.35">
      <c r="B213" s="114">
        <v>2037</v>
      </c>
      <c r="C213" s="112">
        <v>1233</v>
      </c>
      <c r="D213" s="111">
        <v>363</v>
      </c>
      <c r="E213" s="115">
        <v>207</v>
      </c>
    </row>
    <row r="214" spans="2:5" x14ac:dyDescent="0.35">
      <c r="B214" s="114">
        <v>2038</v>
      </c>
      <c r="C214" s="112">
        <v>1244</v>
      </c>
      <c r="D214" s="111">
        <v>354</v>
      </c>
      <c r="E214" s="115">
        <v>206</v>
      </c>
    </row>
    <row r="215" spans="2:5" x14ac:dyDescent="0.35">
      <c r="B215" s="114">
        <v>2039</v>
      </c>
      <c r="C215" s="112">
        <v>1251</v>
      </c>
      <c r="D215" s="111">
        <v>347</v>
      </c>
      <c r="E215" s="115">
        <v>206</v>
      </c>
    </row>
    <row r="216" spans="2:5" x14ac:dyDescent="0.35">
      <c r="B216" s="114">
        <v>2040</v>
      </c>
      <c r="C216" s="112">
        <v>1262</v>
      </c>
      <c r="D216" s="111">
        <v>336</v>
      </c>
      <c r="E216" s="115">
        <v>206</v>
      </c>
    </row>
    <row r="217" spans="2:5" x14ac:dyDescent="0.35">
      <c r="B217" s="114">
        <v>2041</v>
      </c>
      <c r="C217" s="112">
        <v>1269</v>
      </c>
      <c r="D217" s="111">
        <v>329</v>
      </c>
      <c r="E217" s="115">
        <v>206</v>
      </c>
    </row>
    <row r="218" spans="2:5" x14ac:dyDescent="0.35">
      <c r="B218" s="114">
        <v>2042</v>
      </c>
      <c r="C218" s="112">
        <v>1279</v>
      </c>
      <c r="D218" s="111">
        <v>319</v>
      </c>
      <c r="E218" s="115">
        <v>206</v>
      </c>
    </row>
    <row r="219" spans="2:5" x14ac:dyDescent="0.35">
      <c r="B219" s="114">
        <v>2043</v>
      </c>
      <c r="C219" s="112">
        <v>1296</v>
      </c>
      <c r="D219" s="111">
        <v>304</v>
      </c>
      <c r="E219" s="115">
        <v>204</v>
      </c>
    </row>
    <row r="220" spans="2:5" x14ac:dyDescent="0.35">
      <c r="B220" s="114">
        <v>2044</v>
      </c>
      <c r="C220" s="112">
        <v>1305</v>
      </c>
      <c r="D220" s="111">
        <v>297</v>
      </c>
      <c r="E220" s="115">
        <v>202</v>
      </c>
    </row>
    <row r="221" spans="2:5" x14ac:dyDescent="0.35">
      <c r="B221" s="114">
        <v>2045</v>
      </c>
      <c r="C221" s="112">
        <v>1318</v>
      </c>
      <c r="D221" s="111">
        <v>286</v>
      </c>
      <c r="E221" s="115">
        <v>200</v>
      </c>
    </row>
    <row r="222" spans="2:5" x14ac:dyDescent="0.35">
      <c r="B222" s="114">
        <v>2046</v>
      </c>
      <c r="C222" s="112">
        <v>1325</v>
      </c>
      <c r="D222" s="111">
        <v>279</v>
      </c>
      <c r="E222" s="115">
        <v>199</v>
      </c>
    </row>
    <row r="223" spans="2:5" x14ac:dyDescent="0.35">
      <c r="B223" s="114">
        <v>2047</v>
      </c>
      <c r="C223" s="112">
        <v>1337</v>
      </c>
      <c r="D223" s="111">
        <v>269</v>
      </c>
      <c r="E223" s="115">
        <v>197</v>
      </c>
    </row>
    <row r="224" spans="2:5" x14ac:dyDescent="0.35">
      <c r="B224" s="114">
        <v>2048</v>
      </c>
      <c r="C224" s="112">
        <v>1351</v>
      </c>
      <c r="D224" s="111">
        <v>258</v>
      </c>
      <c r="E224" s="115">
        <v>195</v>
      </c>
    </row>
    <row r="225" spans="2:5" x14ac:dyDescent="0.35">
      <c r="B225" s="114">
        <v>2049</v>
      </c>
      <c r="C225" s="112">
        <v>1363</v>
      </c>
      <c r="D225" s="111">
        <v>248</v>
      </c>
      <c r="E225" s="115">
        <v>193</v>
      </c>
    </row>
    <row r="226" spans="2:5" x14ac:dyDescent="0.35">
      <c r="B226" s="114">
        <v>2050</v>
      </c>
      <c r="C226" s="112">
        <v>1370</v>
      </c>
      <c r="D226" s="111">
        <v>242</v>
      </c>
      <c r="E226" s="115">
        <v>192</v>
      </c>
    </row>
    <row r="227" spans="2:5" x14ac:dyDescent="0.35">
      <c r="B227" s="114">
        <v>2051</v>
      </c>
      <c r="C227" s="112">
        <v>1383</v>
      </c>
      <c r="D227" s="111">
        <v>231</v>
      </c>
      <c r="E227" s="115">
        <v>189</v>
      </c>
    </row>
    <row r="228" spans="2:5" x14ac:dyDescent="0.35">
      <c r="B228" s="114">
        <v>2052</v>
      </c>
      <c r="C228" s="112">
        <v>1385</v>
      </c>
      <c r="D228" s="111">
        <v>229</v>
      </c>
      <c r="E228" s="115">
        <v>189</v>
      </c>
    </row>
    <row r="229" spans="2:5" x14ac:dyDescent="0.35">
      <c r="B229" s="114">
        <v>2053</v>
      </c>
      <c r="C229" s="112">
        <v>1418</v>
      </c>
      <c r="D229" s="111">
        <v>210</v>
      </c>
      <c r="E229" s="115">
        <v>176</v>
      </c>
    </row>
    <row r="230" spans="2:5" x14ac:dyDescent="0.35">
      <c r="B230" s="114">
        <v>2054</v>
      </c>
      <c r="C230" s="112">
        <v>1485</v>
      </c>
      <c r="D230" s="111">
        <v>173</v>
      </c>
      <c r="E230" s="115">
        <v>145</v>
      </c>
    </row>
    <row r="231" spans="2:5" x14ac:dyDescent="0.35">
      <c r="B231" s="114">
        <v>2055</v>
      </c>
      <c r="C231" s="112">
        <v>1560</v>
      </c>
      <c r="D231" s="111">
        <v>133</v>
      </c>
      <c r="E231" s="115">
        <v>111</v>
      </c>
    </row>
    <row r="232" spans="2:5" x14ac:dyDescent="0.35">
      <c r="B232" s="114">
        <v>2056</v>
      </c>
      <c r="C232" s="112">
        <v>1600</v>
      </c>
      <c r="D232" s="111">
        <v>110</v>
      </c>
      <c r="E232" s="115">
        <v>93</v>
      </c>
    </row>
    <row r="233" spans="2:5" x14ac:dyDescent="0.35">
      <c r="B233" s="114">
        <v>2057</v>
      </c>
      <c r="C233" s="112">
        <v>1648</v>
      </c>
      <c r="D233" s="111">
        <v>85</v>
      </c>
      <c r="E233" s="115">
        <v>71</v>
      </c>
    </row>
    <row r="234" spans="2:5" x14ac:dyDescent="0.35">
      <c r="B234" s="114">
        <v>2058</v>
      </c>
      <c r="C234" s="112">
        <v>1672</v>
      </c>
      <c r="D234" s="111">
        <v>71</v>
      </c>
      <c r="E234" s="115">
        <v>60</v>
      </c>
    </row>
    <row r="235" spans="2:5" x14ac:dyDescent="0.35">
      <c r="B235" s="114">
        <v>2059</v>
      </c>
      <c r="C235" s="112">
        <v>1692</v>
      </c>
      <c r="D235" s="111">
        <v>61</v>
      </c>
      <c r="E235" s="115">
        <v>51</v>
      </c>
    </row>
    <row r="236" spans="2:5" x14ac:dyDescent="0.35">
      <c r="B236" s="116" t="s">
        <v>350</v>
      </c>
      <c r="C236" s="112">
        <v>1682</v>
      </c>
      <c r="D236" s="111">
        <v>66</v>
      </c>
      <c r="E236" s="115">
        <v>56</v>
      </c>
    </row>
    <row r="237" spans="2:5" x14ac:dyDescent="0.35">
      <c r="B237" s="114">
        <v>2061</v>
      </c>
      <c r="C237" s="112">
        <v>1701</v>
      </c>
      <c r="D237" s="111">
        <v>56</v>
      </c>
      <c r="E237" s="115">
        <v>47</v>
      </c>
    </row>
    <row r="238" spans="2:5" x14ac:dyDescent="0.35">
      <c r="B238" s="114">
        <v>2062</v>
      </c>
      <c r="C238" s="112">
        <v>1710</v>
      </c>
      <c r="D238" s="111">
        <v>51</v>
      </c>
      <c r="E238" s="115">
        <v>43</v>
      </c>
    </row>
    <row r="239" spans="2:5" x14ac:dyDescent="0.35">
      <c r="B239" s="114">
        <v>2063</v>
      </c>
      <c r="C239" s="112">
        <v>1705</v>
      </c>
      <c r="D239" s="111">
        <v>53</v>
      </c>
      <c r="E239" s="115">
        <v>45</v>
      </c>
    </row>
    <row r="240" spans="2:5" x14ac:dyDescent="0.35">
      <c r="B240" s="114">
        <v>2064</v>
      </c>
      <c r="C240" s="112">
        <v>1710</v>
      </c>
      <c r="D240" s="111">
        <v>51</v>
      </c>
      <c r="E240" s="115">
        <v>43</v>
      </c>
    </row>
    <row r="241" spans="2:5" x14ac:dyDescent="0.35">
      <c r="B241" s="114">
        <v>2065</v>
      </c>
      <c r="C241" s="112">
        <v>1710</v>
      </c>
      <c r="D241" s="111">
        <v>51</v>
      </c>
      <c r="E241" s="115">
        <v>42</v>
      </c>
    </row>
    <row r="242" spans="2:5" x14ac:dyDescent="0.35">
      <c r="B242" s="114">
        <v>2066</v>
      </c>
      <c r="C242" s="112">
        <v>1710</v>
      </c>
      <c r="D242" s="111">
        <v>51</v>
      </c>
      <c r="E242" s="115">
        <v>43</v>
      </c>
    </row>
    <row r="243" spans="2:5" x14ac:dyDescent="0.35">
      <c r="B243" s="114">
        <v>2067</v>
      </c>
      <c r="C243" s="112">
        <v>1711</v>
      </c>
      <c r="D243" s="111">
        <v>51</v>
      </c>
      <c r="E243" s="115">
        <v>42</v>
      </c>
    </row>
    <row r="244" spans="2:5" x14ac:dyDescent="0.35">
      <c r="B244" s="114">
        <v>2068</v>
      </c>
      <c r="C244" s="112">
        <v>1710</v>
      </c>
      <c r="D244" s="111">
        <v>51</v>
      </c>
      <c r="E244" s="115">
        <v>43</v>
      </c>
    </row>
    <row r="245" spans="2:5" x14ac:dyDescent="0.35">
      <c r="B245" s="114">
        <v>2069</v>
      </c>
      <c r="C245" s="112">
        <v>1725</v>
      </c>
      <c r="D245" s="111">
        <v>43</v>
      </c>
      <c r="E245" s="115">
        <v>36</v>
      </c>
    </row>
    <row r="246" spans="2:5" x14ac:dyDescent="0.35">
      <c r="B246" s="114">
        <v>2070</v>
      </c>
      <c r="C246" s="112">
        <v>1729</v>
      </c>
      <c r="D246" s="111">
        <v>40</v>
      </c>
      <c r="E246" s="115">
        <v>34</v>
      </c>
    </row>
    <row r="247" spans="2:5" x14ac:dyDescent="0.35">
      <c r="B247" s="114">
        <v>2071</v>
      </c>
      <c r="C247" s="112">
        <v>1727</v>
      </c>
      <c r="D247" s="111">
        <v>41</v>
      </c>
      <c r="E247" s="115">
        <v>35</v>
      </c>
    </row>
    <row r="248" spans="2:5" x14ac:dyDescent="0.35">
      <c r="B248" s="114">
        <v>2072</v>
      </c>
      <c r="C248" s="112">
        <v>1729</v>
      </c>
      <c r="D248" s="111">
        <v>41</v>
      </c>
      <c r="E248" s="115">
        <v>34</v>
      </c>
    </row>
    <row r="249" spans="2:5" x14ac:dyDescent="0.35">
      <c r="B249" s="114">
        <v>2073</v>
      </c>
      <c r="C249" s="112">
        <v>1740</v>
      </c>
      <c r="D249" s="111">
        <v>34</v>
      </c>
      <c r="E249" s="115">
        <v>29</v>
      </c>
    </row>
    <row r="250" spans="2:5" x14ac:dyDescent="0.35">
      <c r="B250" s="114">
        <v>2074</v>
      </c>
      <c r="C250" s="112">
        <v>1738</v>
      </c>
      <c r="D250" s="111">
        <v>36</v>
      </c>
      <c r="E250" s="115">
        <v>30</v>
      </c>
    </row>
    <row r="251" spans="2:5" x14ac:dyDescent="0.35">
      <c r="B251" s="114">
        <v>2075</v>
      </c>
      <c r="C251" s="112">
        <v>1738</v>
      </c>
      <c r="D251" s="111">
        <v>36</v>
      </c>
      <c r="E251" s="115">
        <v>30</v>
      </c>
    </row>
    <row r="252" spans="2:5" x14ac:dyDescent="0.35">
      <c r="B252" s="114">
        <v>2076</v>
      </c>
      <c r="C252" s="112">
        <v>1737</v>
      </c>
      <c r="D252" s="111">
        <v>36</v>
      </c>
      <c r="E252" s="115">
        <v>30</v>
      </c>
    </row>
    <row r="253" spans="2:5" x14ac:dyDescent="0.35">
      <c r="B253" s="114">
        <v>2077</v>
      </c>
      <c r="C253" s="112">
        <v>1743</v>
      </c>
      <c r="D253" s="111">
        <v>33</v>
      </c>
      <c r="E253" s="115">
        <v>27</v>
      </c>
    </row>
    <row r="254" spans="2:5" x14ac:dyDescent="0.35">
      <c r="B254" s="114">
        <v>2078</v>
      </c>
      <c r="C254" s="112">
        <v>1745</v>
      </c>
      <c r="D254" s="111">
        <v>32</v>
      </c>
      <c r="E254" s="115">
        <v>27</v>
      </c>
    </row>
    <row r="255" spans="2:5" x14ac:dyDescent="0.35">
      <c r="B255" s="114">
        <v>2079</v>
      </c>
      <c r="C255" s="112">
        <v>1743</v>
      </c>
      <c r="D255" s="111">
        <v>33</v>
      </c>
      <c r="E255" s="115">
        <v>28</v>
      </c>
    </row>
    <row r="256" spans="2:5" x14ac:dyDescent="0.35">
      <c r="B256" s="114">
        <v>2080</v>
      </c>
      <c r="C256" s="112">
        <v>1738</v>
      </c>
      <c r="D256" s="111">
        <v>36</v>
      </c>
      <c r="E256" s="115">
        <v>30</v>
      </c>
    </row>
    <row r="257" spans="2:14" x14ac:dyDescent="0.35">
      <c r="B257" s="114">
        <v>2081</v>
      </c>
      <c r="C257" s="112">
        <v>1745</v>
      </c>
      <c r="D257" s="111">
        <v>32</v>
      </c>
      <c r="E257" s="115">
        <v>27</v>
      </c>
    </row>
    <row r="258" spans="2:14" x14ac:dyDescent="0.35">
      <c r="B258" s="114">
        <v>2082</v>
      </c>
      <c r="C258" s="112">
        <v>1743</v>
      </c>
      <c r="D258" s="111">
        <v>33</v>
      </c>
      <c r="E258" s="115">
        <v>28</v>
      </c>
    </row>
    <row r="259" spans="2:14" ht="25.5" customHeight="1" thickBot="1" x14ac:dyDescent="0.4">
      <c r="B259" s="633" t="s">
        <v>351</v>
      </c>
      <c r="C259" s="634"/>
      <c r="D259" s="634"/>
      <c r="E259" s="635"/>
    </row>
    <row r="262" spans="2:14" ht="15" thickBot="1" x14ac:dyDescent="0.4">
      <c r="B262" t="s">
        <v>74</v>
      </c>
    </row>
    <row r="263" spans="2:14" x14ac:dyDescent="0.35">
      <c r="B263" s="7" t="s">
        <v>32</v>
      </c>
      <c r="C263" s="8"/>
      <c r="D263" s="8"/>
      <c r="E263" s="8"/>
      <c r="F263" s="8"/>
      <c r="G263" s="8"/>
      <c r="H263" s="8"/>
      <c r="I263" s="8"/>
      <c r="J263" s="9"/>
      <c r="K263" s="8"/>
      <c r="L263" s="8"/>
      <c r="M263" s="8"/>
      <c r="N263" s="17"/>
    </row>
    <row r="264" spans="2:14" x14ac:dyDescent="0.35">
      <c r="B264" s="11" t="s">
        <v>33</v>
      </c>
      <c r="F264"/>
      <c r="H264"/>
      <c r="N264" s="18"/>
    </row>
    <row r="265" spans="2:14" x14ac:dyDescent="0.35">
      <c r="B265" s="11"/>
      <c r="C265" t="s">
        <v>34</v>
      </c>
      <c r="F265"/>
      <c r="H265"/>
      <c r="N265" s="18"/>
    </row>
    <row r="266" spans="2:14" x14ac:dyDescent="0.35">
      <c r="B266" s="11"/>
      <c r="C266" t="s">
        <v>35</v>
      </c>
      <c r="F266"/>
      <c r="H266"/>
      <c r="N266" s="18"/>
    </row>
    <row r="267" spans="2:14" x14ac:dyDescent="0.35">
      <c r="B267" s="11"/>
      <c r="C267" t="s">
        <v>36</v>
      </c>
      <c r="F267"/>
      <c r="H267"/>
      <c r="N267" s="18"/>
    </row>
    <row r="268" spans="2:14" x14ac:dyDescent="0.35">
      <c r="B268" s="11"/>
      <c r="C268" t="s">
        <v>37</v>
      </c>
      <c r="F268"/>
      <c r="H268"/>
      <c r="N268" s="18"/>
    </row>
    <row r="269" spans="2:14" x14ac:dyDescent="0.35">
      <c r="B269" s="11"/>
      <c r="C269" t="s">
        <v>38</v>
      </c>
      <c r="F269"/>
      <c r="H269"/>
      <c r="N269" s="18"/>
    </row>
    <row r="270" spans="2:14" x14ac:dyDescent="0.35">
      <c r="B270" s="11"/>
      <c r="C270" t="s">
        <v>39</v>
      </c>
      <c r="F270"/>
      <c r="H270"/>
      <c r="N270" s="18"/>
    </row>
    <row r="271" spans="2:14" x14ac:dyDescent="0.35">
      <c r="B271" s="11"/>
      <c r="C271" t="s">
        <v>40</v>
      </c>
      <c r="F271"/>
      <c r="H271"/>
      <c r="N271" s="18"/>
    </row>
    <row r="272" spans="2:14" x14ac:dyDescent="0.35">
      <c r="B272" s="11"/>
      <c r="C272" t="s">
        <v>41</v>
      </c>
      <c r="F272"/>
      <c r="H272"/>
      <c r="N272" s="18"/>
    </row>
    <row r="273" spans="2:14" x14ac:dyDescent="0.35">
      <c r="B273" s="11"/>
      <c r="C273" t="s">
        <v>42</v>
      </c>
      <c r="F273"/>
      <c r="H273"/>
      <c r="N273" s="18"/>
    </row>
    <row r="274" spans="2:14" x14ac:dyDescent="0.35">
      <c r="B274" s="11"/>
      <c r="C274" t="s">
        <v>43</v>
      </c>
      <c r="F274"/>
      <c r="H274"/>
      <c r="N274" s="18"/>
    </row>
    <row r="275" spans="2:14" x14ac:dyDescent="0.35">
      <c r="B275" s="11"/>
      <c r="C275" t="s">
        <v>44</v>
      </c>
      <c r="F275"/>
      <c r="H275"/>
      <c r="N275" s="18"/>
    </row>
    <row r="276" spans="2:14" x14ac:dyDescent="0.35">
      <c r="B276" s="11"/>
      <c r="C276" t="s">
        <v>45</v>
      </c>
      <c r="F276"/>
      <c r="H276"/>
      <c r="N276" s="18"/>
    </row>
    <row r="277" spans="2:14" x14ac:dyDescent="0.35">
      <c r="B277" s="11" t="s">
        <v>46</v>
      </c>
      <c r="F277"/>
      <c r="H277"/>
      <c r="N277" s="18"/>
    </row>
    <row r="278" spans="2:14" x14ac:dyDescent="0.35">
      <c r="B278" s="11" t="s">
        <v>47</v>
      </c>
      <c r="F278"/>
      <c r="H278"/>
      <c r="N278" s="18"/>
    </row>
    <row r="279" spans="2:14" x14ac:dyDescent="0.35">
      <c r="B279" s="61" t="s">
        <v>176</v>
      </c>
      <c r="N279" s="18"/>
    </row>
    <row r="280" spans="2:14" x14ac:dyDescent="0.35">
      <c r="B280" s="61" t="s">
        <v>177</v>
      </c>
      <c r="N280" s="18"/>
    </row>
    <row r="281" spans="2:14" x14ac:dyDescent="0.35">
      <c r="B281" s="61" t="s">
        <v>178</v>
      </c>
      <c r="N281" s="18"/>
    </row>
    <row r="282" spans="2:14" ht="15" thickBot="1" x14ac:dyDescent="0.4">
      <c r="B282" s="62" t="s">
        <v>179</v>
      </c>
      <c r="C282" s="14"/>
      <c r="D282" s="14"/>
      <c r="E282" s="14"/>
      <c r="F282" s="15"/>
      <c r="G282" s="14"/>
      <c r="H282" s="15"/>
      <c r="I282" s="14"/>
      <c r="J282" s="15"/>
      <c r="K282" s="14"/>
      <c r="L282" s="14"/>
      <c r="M282" s="14"/>
      <c r="N282" s="19"/>
    </row>
    <row r="285" spans="2:14" ht="15" thickBot="1" x14ac:dyDescent="0.4">
      <c r="B285" s="60" t="s">
        <v>462</v>
      </c>
    </row>
    <row r="286" spans="2:14" x14ac:dyDescent="0.35">
      <c r="B286" s="160"/>
      <c r="C286" s="161"/>
      <c r="D286" s="161"/>
      <c r="E286" s="161"/>
      <c r="F286" s="161"/>
      <c r="G286" s="161"/>
      <c r="H286" s="162"/>
      <c r="I286" s="177"/>
    </row>
    <row r="287" spans="2:14" ht="15" x14ac:dyDescent="0.35">
      <c r="B287" s="61" t="s">
        <v>477</v>
      </c>
      <c r="C287" s="60"/>
      <c r="D287" s="60"/>
      <c r="E287" s="60"/>
      <c r="F287" s="60"/>
      <c r="G287" s="150"/>
      <c r="H287" s="150"/>
      <c r="I287" s="178"/>
    </row>
    <row r="288" spans="2:14" ht="16.5" x14ac:dyDescent="0.35">
      <c r="B288" s="61" t="s">
        <v>486</v>
      </c>
      <c r="C288" s="151"/>
      <c r="D288" s="151" t="s">
        <v>478</v>
      </c>
      <c r="E288" s="151" t="s">
        <v>479</v>
      </c>
      <c r="F288" s="152" t="s">
        <v>480</v>
      </c>
      <c r="G288" s="151" t="s">
        <v>481</v>
      </c>
      <c r="H288" s="151" t="s">
        <v>487</v>
      </c>
      <c r="I288" s="179"/>
    </row>
    <row r="289" spans="2:10" x14ac:dyDescent="0.35">
      <c r="B289" s="61" t="s">
        <v>454</v>
      </c>
      <c r="C289" s="156"/>
      <c r="D289" s="156">
        <v>182.13</v>
      </c>
      <c r="E289" s="156">
        <v>177.3</v>
      </c>
      <c r="F289" s="156">
        <v>165.83</v>
      </c>
      <c r="G289" s="156">
        <v>116.48</v>
      </c>
      <c r="H289" s="156">
        <f>(D289+E289+F289+G289)/4</f>
        <v>160.435</v>
      </c>
      <c r="I289" s="180"/>
    </row>
    <row r="290" spans="2:10" x14ac:dyDescent="0.35">
      <c r="B290" s="61" t="s">
        <v>465</v>
      </c>
      <c r="C290" s="156"/>
      <c r="D290" s="156">
        <v>146.96</v>
      </c>
      <c r="E290" s="156">
        <v>162.22999999999999</v>
      </c>
      <c r="F290" s="156">
        <v>144.16999999999999</v>
      </c>
      <c r="G290" s="156">
        <v>101.58</v>
      </c>
      <c r="H290" s="156">
        <f>(D290+E290+F290+G290)/4</f>
        <v>138.73500000000001</v>
      </c>
      <c r="I290" s="180"/>
    </row>
    <row r="291" spans="2:10" x14ac:dyDescent="0.35">
      <c r="B291" s="61" t="s">
        <v>466</v>
      </c>
      <c r="C291" s="156"/>
      <c r="D291" s="156">
        <v>83.26</v>
      </c>
      <c r="E291" s="156">
        <v>52.38</v>
      </c>
      <c r="F291" s="156">
        <v>60.31</v>
      </c>
      <c r="G291" s="156">
        <v>90.26</v>
      </c>
      <c r="H291" s="156">
        <f>(D291+E291+F291+G291)/4</f>
        <v>71.552500000000009</v>
      </c>
      <c r="I291" s="180"/>
    </row>
    <row r="292" spans="2:10" x14ac:dyDescent="0.35">
      <c r="B292" s="61" t="s">
        <v>482</v>
      </c>
      <c r="C292" s="156"/>
      <c r="D292" s="156">
        <v>137.91999999999999</v>
      </c>
      <c r="E292" s="156">
        <v>130.83000000000001</v>
      </c>
      <c r="F292" s="156">
        <v>124.26</v>
      </c>
      <c r="G292" s="156">
        <v>101.6</v>
      </c>
      <c r="H292" s="156">
        <f>(D292+E292+F292+G292)/4</f>
        <v>123.6525</v>
      </c>
      <c r="I292" s="180"/>
    </row>
    <row r="293" spans="2:10" x14ac:dyDescent="0.35">
      <c r="B293" s="61" t="s">
        <v>468</v>
      </c>
      <c r="C293" s="156"/>
      <c r="D293" s="156"/>
      <c r="E293" s="156"/>
      <c r="F293" s="156"/>
      <c r="G293" s="156"/>
      <c r="H293" s="153"/>
      <c r="I293" s="180"/>
    </row>
    <row r="294" spans="2:10" x14ac:dyDescent="0.35">
      <c r="B294" s="61" t="s">
        <v>469</v>
      </c>
      <c r="C294" s="156"/>
      <c r="D294" s="156">
        <v>62</v>
      </c>
      <c r="E294" s="156"/>
      <c r="F294" s="156"/>
      <c r="G294" s="156"/>
      <c r="H294" s="153"/>
      <c r="I294" s="180"/>
    </row>
    <row r="295" spans="2:10" x14ac:dyDescent="0.35">
      <c r="B295" s="61" t="s">
        <v>470</v>
      </c>
      <c r="C295" s="156"/>
      <c r="D295" s="156"/>
      <c r="E295" s="156"/>
      <c r="F295" s="156"/>
      <c r="G295" s="156"/>
      <c r="H295" s="153"/>
      <c r="I295" s="180"/>
    </row>
    <row r="296" spans="2:10" ht="15" x14ac:dyDescent="0.35">
      <c r="B296" s="181" t="s">
        <v>483</v>
      </c>
      <c r="C296" s="154"/>
      <c r="D296" s="154"/>
      <c r="E296" s="154"/>
      <c r="F296" s="155"/>
      <c r="G296" s="154"/>
      <c r="H296" s="150"/>
      <c r="I296" s="178"/>
    </row>
    <row r="297" spans="2:10" x14ac:dyDescent="0.35">
      <c r="B297" s="181" t="s">
        <v>484</v>
      </c>
      <c r="C297" s="139"/>
      <c r="D297" s="139"/>
      <c r="E297" s="139"/>
      <c r="F297" s="139"/>
      <c r="G297" s="139"/>
      <c r="H297" s="139"/>
      <c r="I297" s="18"/>
    </row>
    <row r="298" spans="2:10" x14ac:dyDescent="0.35">
      <c r="B298" s="181" t="s">
        <v>485</v>
      </c>
      <c r="C298" s="139"/>
      <c r="D298" s="139"/>
      <c r="E298" s="139"/>
      <c r="F298" s="139"/>
      <c r="G298" s="139"/>
      <c r="H298" s="139"/>
      <c r="I298" s="18"/>
    </row>
    <row r="299" spans="2:10" x14ac:dyDescent="0.35">
      <c r="B299" s="61"/>
      <c r="I299" s="18"/>
    </row>
    <row r="300" spans="2:10" x14ac:dyDescent="0.35">
      <c r="B300" s="61" t="s">
        <v>501</v>
      </c>
      <c r="C300" s="60"/>
      <c r="D300" s="149"/>
      <c r="E300" s="149"/>
      <c r="F300" s="149"/>
      <c r="G300" s="156"/>
      <c r="H300" s="149"/>
      <c r="I300" s="182"/>
      <c r="J300" s="149"/>
    </row>
    <row r="301" spans="2:10" ht="29" x14ac:dyDescent="0.35">
      <c r="B301" s="61"/>
      <c r="C301" s="60"/>
      <c r="D301" s="149"/>
      <c r="E301" s="159" t="s">
        <v>463</v>
      </c>
      <c r="F301" s="149"/>
      <c r="G301" s="176" t="s">
        <v>464</v>
      </c>
      <c r="H301" s="149"/>
      <c r="I301" s="182"/>
      <c r="J301" s="149"/>
    </row>
    <row r="302" spans="2:10" x14ac:dyDescent="0.35">
      <c r="B302" s="61"/>
      <c r="C302" s="60" t="s">
        <v>454</v>
      </c>
      <c r="D302" s="149"/>
      <c r="E302" s="156">
        <f>H289</f>
        <v>160.435</v>
      </c>
      <c r="F302" s="149"/>
      <c r="G302" s="157">
        <f>2080*E302</f>
        <v>333704.8</v>
      </c>
      <c r="H302" s="149"/>
      <c r="I302" s="182"/>
      <c r="J302" s="149"/>
    </row>
    <row r="303" spans="2:10" x14ac:dyDescent="0.35">
      <c r="B303" s="61"/>
      <c r="C303" s="60" t="s">
        <v>465</v>
      </c>
      <c r="D303" s="149"/>
      <c r="E303" s="156">
        <f>H290</f>
        <v>138.73500000000001</v>
      </c>
      <c r="F303" s="149"/>
      <c r="G303" s="157">
        <f t="shared" ref="G303:G308" si="0">2080*E303</f>
        <v>288568.80000000005</v>
      </c>
      <c r="H303" s="149"/>
      <c r="I303" s="182"/>
      <c r="J303" s="149"/>
    </row>
    <row r="304" spans="2:10" x14ac:dyDescent="0.35">
      <c r="B304" s="61"/>
      <c r="C304" s="60" t="s">
        <v>466</v>
      </c>
      <c r="D304" s="149"/>
      <c r="E304" s="156">
        <f>H291</f>
        <v>71.552500000000009</v>
      </c>
      <c r="F304" s="149"/>
      <c r="G304" s="157">
        <f t="shared" si="0"/>
        <v>148829.20000000001</v>
      </c>
      <c r="H304" s="149"/>
      <c r="I304" s="182"/>
      <c r="J304" s="149"/>
    </row>
    <row r="305" spans="2:10" x14ac:dyDescent="0.35">
      <c r="B305" s="61"/>
      <c r="C305" s="60" t="s">
        <v>467</v>
      </c>
      <c r="D305" s="149"/>
      <c r="E305" s="156">
        <f>H292</f>
        <v>123.6525</v>
      </c>
      <c r="F305" s="149"/>
      <c r="G305" s="157">
        <f t="shared" si="0"/>
        <v>257197.2</v>
      </c>
      <c r="H305" s="149"/>
      <c r="I305" s="182"/>
      <c r="J305" s="149"/>
    </row>
    <row r="306" spans="2:10" x14ac:dyDescent="0.35">
      <c r="B306" s="61"/>
      <c r="C306" s="60" t="s">
        <v>468</v>
      </c>
      <c r="D306" s="149"/>
      <c r="E306" s="156">
        <v>46</v>
      </c>
      <c r="F306" s="149"/>
      <c r="G306" s="157">
        <f t="shared" si="0"/>
        <v>95680</v>
      </c>
      <c r="H306" s="149"/>
      <c r="I306" s="182"/>
      <c r="J306" s="149"/>
    </row>
    <row r="307" spans="2:10" x14ac:dyDescent="0.35">
      <c r="B307" s="61"/>
      <c r="C307" s="60" t="s">
        <v>469</v>
      </c>
      <c r="D307" s="149"/>
      <c r="E307" s="156">
        <v>62</v>
      </c>
      <c r="F307" s="149"/>
      <c r="G307" s="157">
        <f t="shared" si="0"/>
        <v>128960</v>
      </c>
      <c r="H307" s="149"/>
      <c r="I307" s="182"/>
      <c r="J307" s="149"/>
    </row>
    <row r="308" spans="2:10" x14ac:dyDescent="0.35">
      <c r="B308" s="61"/>
      <c r="C308" s="60" t="s">
        <v>470</v>
      </c>
      <c r="D308" s="149"/>
      <c r="E308" s="156">
        <v>40</v>
      </c>
      <c r="F308" s="149"/>
      <c r="G308" s="157">
        <f t="shared" si="0"/>
        <v>83200</v>
      </c>
      <c r="H308" s="149"/>
      <c r="I308" s="182"/>
      <c r="J308" s="149"/>
    </row>
    <row r="309" spans="2:10" x14ac:dyDescent="0.35">
      <c r="B309" s="61"/>
      <c r="C309" s="60"/>
      <c r="D309" s="149"/>
      <c r="E309" s="156"/>
      <c r="F309" s="149"/>
      <c r="G309" s="157"/>
      <c r="H309" s="149"/>
      <c r="I309" s="182"/>
      <c r="J309" s="149"/>
    </row>
    <row r="310" spans="2:10" x14ac:dyDescent="0.35">
      <c r="B310" s="61"/>
      <c r="C310" s="60"/>
      <c r="D310" s="149"/>
      <c r="E310" s="156"/>
      <c r="F310" s="149"/>
      <c r="G310" s="157"/>
      <c r="H310" s="149"/>
      <c r="I310" s="182"/>
      <c r="J310" s="149"/>
    </row>
    <row r="311" spans="2:10" x14ac:dyDescent="0.35">
      <c r="B311" s="61" t="s">
        <v>471</v>
      </c>
      <c r="C311" s="60"/>
      <c r="D311" s="149"/>
      <c r="E311" s="156"/>
      <c r="F311" s="149"/>
      <c r="G311" s="157"/>
      <c r="H311" s="149"/>
      <c r="I311" s="182"/>
      <c r="J311" s="149"/>
    </row>
    <row r="312" spans="2:10" x14ac:dyDescent="0.35">
      <c r="B312" s="61"/>
      <c r="C312" s="60" t="s">
        <v>472</v>
      </c>
      <c r="D312" s="149"/>
      <c r="E312" s="158">
        <f>145000*1.105</f>
        <v>160225</v>
      </c>
      <c r="F312" s="149"/>
      <c r="H312" s="149"/>
      <c r="I312" s="182"/>
      <c r="J312" s="149"/>
    </row>
    <row r="313" spans="2:10" x14ac:dyDescent="0.35">
      <c r="B313" s="61"/>
      <c r="C313" s="60" t="s">
        <v>454</v>
      </c>
      <c r="D313" s="149"/>
      <c r="E313" s="158">
        <f>120000*1.105</f>
        <v>132600</v>
      </c>
      <c r="F313" s="149"/>
      <c r="H313" s="149"/>
      <c r="I313" s="182"/>
      <c r="J313" s="149"/>
    </row>
    <row r="314" spans="2:10" x14ac:dyDescent="0.35">
      <c r="B314" s="61"/>
      <c r="C314" s="60" t="s">
        <v>466</v>
      </c>
      <c r="D314" s="149"/>
      <c r="E314" s="158">
        <f>55000*1.105</f>
        <v>60775</v>
      </c>
      <c r="F314" s="149"/>
      <c r="H314" s="149"/>
      <c r="I314" s="182"/>
      <c r="J314" s="149"/>
    </row>
    <row r="315" spans="2:10" x14ac:dyDescent="0.35">
      <c r="B315" s="61"/>
      <c r="C315" s="60" t="s">
        <v>473</v>
      </c>
      <c r="D315" s="149"/>
      <c r="E315" s="158">
        <f>105000*1.105</f>
        <v>116025</v>
      </c>
      <c r="F315" s="149"/>
      <c r="H315" s="149"/>
      <c r="I315" s="182"/>
      <c r="J315" s="149"/>
    </row>
    <row r="316" spans="2:10" x14ac:dyDescent="0.35">
      <c r="B316" s="61"/>
      <c r="C316" s="60" t="s">
        <v>474</v>
      </c>
      <c r="D316" s="149"/>
      <c r="E316" s="158">
        <f>95000*1.105</f>
        <v>104975</v>
      </c>
      <c r="F316" s="149"/>
      <c r="H316" s="149"/>
      <c r="I316" s="182"/>
      <c r="J316" s="149"/>
    </row>
    <row r="317" spans="2:10" x14ac:dyDescent="0.35">
      <c r="B317" s="61"/>
      <c r="C317" s="60" t="s">
        <v>149</v>
      </c>
      <c r="D317" s="149"/>
      <c r="E317" s="158">
        <f>40*2080</f>
        <v>83200</v>
      </c>
      <c r="F317" s="149"/>
      <c r="H317" s="149"/>
      <c r="I317" s="182"/>
      <c r="J317" s="149"/>
    </row>
    <row r="318" spans="2:10" x14ac:dyDescent="0.35">
      <c r="B318" s="61"/>
      <c r="C318" s="60" t="s">
        <v>475</v>
      </c>
      <c r="D318" s="149"/>
      <c r="E318" s="158">
        <v>0</v>
      </c>
      <c r="F318" s="149"/>
      <c r="H318" s="149"/>
      <c r="I318" s="182"/>
      <c r="J318" s="149"/>
    </row>
    <row r="319" spans="2:10" x14ac:dyDescent="0.35">
      <c r="B319" s="61"/>
      <c r="C319" s="60" t="s">
        <v>476</v>
      </c>
      <c r="D319" s="149"/>
      <c r="E319" s="157">
        <v>0</v>
      </c>
      <c r="F319" s="149"/>
      <c r="H319" s="149"/>
      <c r="I319" s="182"/>
      <c r="J319" s="149"/>
    </row>
    <row r="320" spans="2:10" ht="15" thickBot="1" x14ac:dyDescent="0.4">
      <c r="B320" s="62"/>
      <c r="C320" s="163"/>
      <c r="D320" s="164"/>
      <c r="E320" s="165"/>
      <c r="F320" s="164"/>
      <c r="G320" s="183"/>
      <c r="H320" s="164"/>
      <c r="I320" s="184"/>
      <c r="J320" s="149"/>
    </row>
    <row r="321" spans="2:10" x14ac:dyDescent="0.35">
      <c r="B321" s="60"/>
      <c r="C321" s="60"/>
      <c r="D321" s="149"/>
      <c r="G321" s="149"/>
      <c r="H321" s="149"/>
      <c r="I321" s="157"/>
      <c r="J321" s="157"/>
    </row>
  </sheetData>
  <sortState xmlns:xlrd2="http://schemas.microsoft.com/office/spreadsheetml/2017/richdata2" ref="I8:O71">
    <sortCondition ref="J8:J71"/>
  </sortState>
  <mergeCells count="4">
    <mergeCell ref="B204:E204"/>
    <mergeCell ref="B205:B206"/>
    <mergeCell ref="C205:E205"/>
    <mergeCell ref="B259:E25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abColor rgb="FF002060"/>
    <pageSetUpPr fitToPage="1"/>
  </sheetPr>
  <dimension ref="A1:N97"/>
  <sheetViews>
    <sheetView zoomScale="85" zoomScaleNormal="85" workbookViewId="0">
      <selection activeCell="M8" sqref="M8"/>
    </sheetView>
  </sheetViews>
  <sheetFormatPr defaultColWidth="13.54296875" defaultRowHeight="15.5" x14ac:dyDescent="0.35"/>
  <cols>
    <col min="1" max="1" width="4.453125" style="27" customWidth="1"/>
    <col min="2" max="2" width="24.26953125" style="27" customWidth="1"/>
    <col min="3" max="3" width="17.81640625" style="27" customWidth="1"/>
    <col min="4" max="4" width="16" style="28" customWidth="1"/>
    <col min="5" max="5" width="16.54296875" style="27" customWidth="1"/>
    <col min="6" max="7" width="13.54296875" style="27" customWidth="1"/>
    <col min="8" max="8" width="14.453125" style="27" customWidth="1"/>
    <col min="9" max="9" width="11.54296875" style="27" customWidth="1"/>
    <col min="10" max="10" width="13.54296875" style="31" customWidth="1"/>
    <col min="11" max="11" width="13.54296875" style="27" customWidth="1"/>
    <col min="12" max="12" width="13.54296875" style="27"/>
    <col min="13" max="13" width="16.7265625" style="27" customWidth="1"/>
    <col min="14" max="14" width="18.26953125" style="27" customWidth="1"/>
    <col min="15" max="16384" width="13.54296875" style="27"/>
  </cols>
  <sheetData>
    <row r="1" spans="1:14" x14ac:dyDescent="0.35">
      <c r="D1" s="312"/>
      <c r="F1" s="29"/>
      <c r="H1" s="29"/>
    </row>
    <row r="2" spans="1:14" x14ac:dyDescent="0.35">
      <c r="C2" s="30"/>
      <c r="D2" s="31" t="s">
        <v>1043</v>
      </c>
      <c r="E2" s="30"/>
      <c r="F2" s="32"/>
      <c r="G2" s="30"/>
      <c r="H2" s="32"/>
      <c r="I2" s="30"/>
      <c r="J2" s="315"/>
    </row>
    <row r="3" spans="1:14" x14ac:dyDescent="0.35">
      <c r="F3" s="29"/>
      <c r="H3" s="29"/>
      <c r="J3" s="315"/>
    </row>
    <row r="4" spans="1:14" x14ac:dyDescent="0.35">
      <c r="E4" s="318" t="s">
        <v>75</v>
      </c>
      <c r="F4" s="319"/>
      <c r="G4" s="318" t="s">
        <v>76</v>
      </c>
      <c r="H4" s="320"/>
      <c r="J4" s="317"/>
      <c r="K4" s="28" t="s">
        <v>77</v>
      </c>
    </row>
    <row r="5" spans="1:14" x14ac:dyDescent="0.35">
      <c r="B5" s="27" t="s">
        <v>78</v>
      </c>
      <c r="C5" s="37">
        <v>0.1</v>
      </c>
      <c r="E5" s="28" t="s">
        <v>79</v>
      </c>
      <c r="F5" s="321" t="s">
        <v>80</v>
      </c>
      <c r="G5" s="28" t="s">
        <v>81</v>
      </c>
      <c r="H5" s="321" t="s">
        <v>82</v>
      </c>
      <c r="I5" s="335" t="s">
        <v>83</v>
      </c>
      <c r="J5" s="322" t="s">
        <v>83</v>
      </c>
      <c r="K5" s="28" t="s">
        <v>84</v>
      </c>
      <c r="M5" s="33"/>
      <c r="N5" s="34"/>
    </row>
    <row r="6" spans="1:14" x14ac:dyDescent="0.35">
      <c r="E6" s="28" t="s">
        <v>85</v>
      </c>
      <c r="F6" s="321" t="s">
        <v>86</v>
      </c>
      <c r="G6" s="28" t="s">
        <v>87</v>
      </c>
      <c r="H6" s="321" t="s">
        <v>88</v>
      </c>
      <c r="I6" s="335"/>
      <c r="J6" s="317"/>
      <c r="K6" s="28" t="s">
        <v>89</v>
      </c>
      <c r="M6" s="34"/>
      <c r="N6" s="34"/>
    </row>
    <row r="7" spans="1:14" x14ac:dyDescent="0.35">
      <c r="F7" s="29"/>
      <c r="H7" s="29"/>
      <c r="I7" s="335"/>
      <c r="J7" s="317"/>
      <c r="M7" s="34"/>
      <c r="N7" s="34"/>
    </row>
    <row r="8" spans="1:14" x14ac:dyDescent="0.35">
      <c r="A8" s="27" t="s">
        <v>90</v>
      </c>
      <c r="B8" s="35"/>
      <c r="F8" s="29"/>
      <c r="H8" s="29"/>
      <c r="I8" s="335"/>
      <c r="J8" s="317"/>
      <c r="M8" s="34"/>
      <c r="N8" s="34"/>
    </row>
    <row r="9" spans="1:14" x14ac:dyDescent="0.35">
      <c r="B9" s="35" t="s">
        <v>91</v>
      </c>
      <c r="C9" s="35" t="s">
        <v>92</v>
      </c>
      <c r="D9" s="36" t="s">
        <v>51</v>
      </c>
      <c r="F9" s="29"/>
      <c r="H9" s="29"/>
      <c r="I9" s="335"/>
      <c r="J9" s="317"/>
      <c r="M9" s="34"/>
      <c r="N9" s="34"/>
    </row>
    <row r="10" spans="1:14" x14ac:dyDescent="0.35">
      <c r="B10" s="27" t="s">
        <v>93</v>
      </c>
      <c r="C10" s="27" t="s">
        <v>94</v>
      </c>
      <c r="D10" s="28" t="s">
        <v>95</v>
      </c>
      <c r="E10" s="323">
        <v>602.82000000000005</v>
      </c>
      <c r="F10" s="29">
        <f t="shared" ref="F10:F15" si="0">$C$5*E10</f>
        <v>60.282000000000011</v>
      </c>
      <c r="G10" s="324">
        <f>(29.45+13.55+5.5)*1.1</f>
        <v>53.35</v>
      </c>
      <c r="H10" s="29">
        <f t="shared" ref="H10:H15" si="1">(0.3942+$C$5)*G10</f>
        <v>26.365569999999998</v>
      </c>
      <c r="I10" s="335">
        <f t="shared" ref="I10:I15" si="2">E10+F10+G10+H10</f>
        <v>742.81757000000016</v>
      </c>
      <c r="J10" s="325">
        <f>ROUND(I10,2)</f>
        <v>742.82</v>
      </c>
      <c r="K10" s="37">
        <f t="shared" ref="K10:K15" si="3">(J10-(E10+G10))/(E10+G10)</f>
        <v>0.13205419327308468</v>
      </c>
      <c r="M10" s="34"/>
      <c r="N10" s="34"/>
    </row>
    <row r="11" spans="1:14" x14ac:dyDescent="0.35">
      <c r="B11" s="27" t="s">
        <v>93</v>
      </c>
      <c r="C11" s="27" t="s">
        <v>1044</v>
      </c>
      <c r="D11" s="28" t="s">
        <v>96</v>
      </c>
      <c r="E11" s="323">
        <v>380.56</v>
      </c>
      <c r="F11" s="29">
        <f t="shared" si="0"/>
        <v>38.056000000000004</v>
      </c>
      <c r="G11" s="324">
        <f t="shared" ref="G11:G15" si="4">(29.45+13.55+5.5)*1.1</f>
        <v>53.35</v>
      </c>
      <c r="H11" s="29">
        <f t="shared" si="1"/>
        <v>26.365569999999998</v>
      </c>
      <c r="I11" s="335">
        <f t="shared" si="2"/>
        <v>498.33157</v>
      </c>
      <c r="J11" s="325">
        <f t="shared" ref="J11:J15" si="5">ROUND(I11,2)</f>
        <v>498.33</v>
      </c>
      <c r="K11" s="37">
        <f t="shared" si="3"/>
        <v>0.14846396718213445</v>
      </c>
      <c r="M11" s="38"/>
      <c r="N11" s="34"/>
    </row>
    <row r="12" spans="1:14" x14ac:dyDescent="0.35">
      <c r="B12" s="27" t="s">
        <v>93</v>
      </c>
      <c r="C12" s="27" t="s">
        <v>97</v>
      </c>
      <c r="D12" s="28" t="s">
        <v>96</v>
      </c>
      <c r="E12" s="323">
        <v>306.08999999999997</v>
      </c>
      <c r="F12" s="29">
        <f t="shared" si="0"/>
        <v>30.608999999999998</v>
      </c>
      <c r="G12" s="324">
        <f t="shared" si="4"/>
        <v>53.35</v>
      </c>
      <c r="H12" s="29">
        <f t="shared" si="1"/>
        <v>26.365569999999998</v>
      </c>
      <c r="I12" s="335">
        <f t="shared" si="2"/>
        <v>416.41456999999997</v>
      </c>
      <c r="J12" s="325">
        <f t="shared" si="5"/>
        <v>416.41</v>
      </c>
      <c r="K12" s="37">
        <f t="shared" si="3"/>
        <v>0.15849655018918324</v>
      </c>
      <c r="M12" s="38"/>
      <c r="N12" s="34"/>
    </row>
    <row r="13" spans="1:14" x14ac:dyDescent="0.35">
      <c r="B13" s="27" t="s">
        <v>93</v>
      </c>
      <c r="C13" s="27" t="s">
        <v>98</v>
      </c>
      <c r="D13" s="28" t="s">
        <v>96</v>
      </c>
      <c r="E13" s="323">
        <v>229.9</v>
      </c>
      <c r="F13" s="29">
        <f t="shared" si="0"/>
        <v>22.990000000000002</v>
      </c>
      <c r="G13" s="324">
        <f t="shared" si="4"/>
        <v>53.35</v>
      </c>
      <c r="H13" s="29">
        <f t="shared" si="1"/>
        <v>26.365569999999998</v>
      </c>
      <c r="I13" s="335">
        <f t="shared" si="2"/>
        <v>332.60557</v>
      </c>
      <c r="J13" s="325">
        <f t="shared" si="5"/>
        <v>332.61</v>
      </c>
      <c r="K13" s="37">
        <f t="shared" si="3"/>
        <v>0.17426301853486326</v>
      </c>
      <c r="M13" s="38"/>
      <c r="N13" s="34"/>
    </row>
    <row r="14" spans="1:14" x14ac:dyDescent="0.35">
      <c r="B14" s="27" t="s">
        <v>93</v>
      </c>
      <c r="C14" s="27" t="s">
        <v>1045</v>
      </c>
      <c r="D14" s="28" t="s">
        <v>96</v>
      </c>
      <c r="E14" s="323">
        <v>136.93</v>
      </c>
      <c r="F14" s="29">
        <f t="shared" si="0"/>
        <v>13.693000000000001</v>
      </c>
      <c r="G14" s="324">
        <f t="shared" si="4"/>
        <v>53.35</v>
      </c>
      <c r="H14" s="29">
        <f t="shared" si="1"/>
        <v>26.365569999999998</v>
      </c>
      <c r="I14" s="335">
        <f t="shared" si="2"/>
        <v>230.33857</v>
      </c>
      <c r="J14" s="325">
        <f t="shared" si="5"/>
        <v>230.34</v>
      </c>
      <c r="K14" s="37">
        <f t="shared" si="3"/>
        <v>0.21053184780323733</v>
      </c>
      <c r="M14" s="38"/>
      <c r="N14" s="34"/>
    </row>
    <row r="15" spans="1:14" x14ac:dyDescent="0.35">
      <c r="B15" s="27" t="s">
        <v>93</v>
      </c>
      <c r="C15" s="27" t="s">
        <v>1046</v>
      </c>
      <c r="D15" s="28" t="s">
        <v>96</v>
      </c>
      <c r="E15" s="323">
        <v>149.05000000000001</v>
      </c>
      <c r="F15" s="29">
        <f t="shared" si="0"/>
        <v>14.905000000000001</v>
      </c>
      <c r="G15" s="324">
        <f t="shared" si="4"/>
        <v>53.35</v>
      </c>
      <c r="H15" s="29">
        <f t="shared" si="1"/>
        <v>26.365569999999998</v>
      </c>
      <c r="I15" s="335">
        <f t="shared" si="2"/>
        <v>243.67057</v>
      </c>
      <c r="J15" s="325">
        <f t="shared" si="5"/>
        <v>243.67</v>
      </c>
      <c r="K15" s="37">
        <f t="shared" si="3"/>
        <v>0.20390316205533587</v>
      </c>
      <c r="M15" s="38"/>
      <c r="N15" s="34"/>
    </row>
    <row r="16" spans="1:14" x14ac:dyDescent="0.35">
      <c r="E16" s="39"/>
      <c r="F16" s="29"/>
      <c r="H16" s="29"/>
      <c r="I16" s="335"/>
      <c r="J16" s="317"/>
      <c r="M16" s="38"/>
      <c r="N16" s="34"/>
    </row>
    <row r="17" spans="1:14" x14ac:dyDescent="0.35">
      <c r="A17" s="27" t="s">
        <v>100</v>
      </c>
      <c r="B17" s="35"/>
      <c r="C17" s="35"/>
      <c r="D17" s="36"/>
      <c r="E17" s="39"/>
      <c r="F17" s="29"/>
      <c r="H17" s="29"/>
      <c r="I17" s="335"/>
      <c r="J17" s="317"/>
      <c r="M17" s="38"/>
      <c r="N17" s="34"/>
    </row>
    <row r="18" spans="1:14" x14ac:dyDescent="0.35">
      <c r="B18" s="35" t="s">
        <v>91</v>
      </c>
      <c r="C18" s="35" t="s">
        <v>92</v>
      </c>
      <c r="D18" s="36" t="s">
        <v>101</v>
      </c>
      <c r="E18" s="39"/>
      <c r="F18" s="29"/>
      <c r="H18" s="29"/>
      <c r="I18" s="335"/>
      <c r="J18" s="317"/>
      <c r="M18" s="38"/>
      <c r="N18" s="34"/>
    </row>
    <row r="19" spans="1:14" x14ac:dyDescent="0.35">
      <c r="B19" s="27" t="s">
        <v>93</v>
      </c>
      <c r="C19" s="27" t="s">
        <v>679</v>
      </c>
      <c r="D19" s="28">
        <v>16</v>
      </c>
      <c r="E19" s="323">
        <v>452.75</v>
      </c>
      <c r="F19" s="29">
        <f>$C$5*E19</f>
        <v>45.275000000000006</v>
      </c>
      <c r="G19" s="324">
        <f t="shared" ref="G19:G22" si="6">(29.45+13.55+5.5)*1.1</f>
        <v>53.35</v>
      </c>
      <c r="H19" s="29">
        <f>(0.3942+$C$5)*G19</f>
        <v>26.365569999999998</v>
      </c>
      <c r="I19" s="335">
        <f>E19+F19+G19+H19</f>
        <v>577.74057000000005</v>
      </c>
      <c r="J19" s="325">
        <f>ROUND(I19,2)</f>
        <v>577.74</v>
      </c>
      <c r="K19" s="37">
        <f>(J19-(E19+G19))/(E19+G19)</f>
        <v>0.14155305275637223</v>
      </c>
      <c r="M19" s="38"/>
      <c r="N19" s="34"/>
    </row>
    <row r="20" spans="1:14" x14ac:dyDescent="0.35">
      <c r="B20" s="27" t="s">
        <v>93</v>
      </c>
      <c r="C20" s="27" t="s">
        <v>1047</v>
      </c>
      <c r="D20" s="28">
        <v>8</v>
      </c>
      <c r="E20" s="323">
        <v>211.72</v>
      </c>
      <c r="F20" s="29">
        <f>$C$5*E20</f>
        <v>21.172000000000001</v>
      </c>
      <c r="G20" s="324">
        <f t="shared" si="6"/>
        <v>53.35</v>
      </c>
      <c r="H20" s="29">
        <f>(0.3942+$C$5)*G20</f>
        <v>26.365569999999998</v>
      </c>
      <c r="I20" s="335">
        <f>E20+F20+G20+H20</f>
        <v>312.60757000000001</v>
      </c>
      <c r="J20" s="325">
        <f>ROUND(I20,2)</f>
        <v>312.61</v>
      </c>
      <c r="K20" s="37">
        <f>(J20-(E20+G20))/(E20+G20)</f>
        <v>0.17934885124684055</v>
      </c>
      <c r="M20" s="38"/>
      <c r="N20" s="34"/>
    </row>
    <row r="21" spans="1:14" x14ac:dyDescent="0.35">
      <c r="B21" s="27" t="s">
        <v>93</v>
      </c>
      <c r="C21" s="40" t="s">
        <v>1048</v>
      </c>
      <c r="D21" s="28">
        <v>7</v>
      </c>
      <c r="E21" s="323">
        <v>104.25</v>
      </c>
      <c r="F21" s="29">
        <f>$C$5*E21</f>
        <v>10.425000000000001</v>
      </c>
      <c r="G21" s="324">
        <f t="shared" si="6"/>
        <v>53.35</v>
      </c>
      <c r="H21" s="29">
        <f>(0.3942+$C$5)*G21</f>
        <v>26.365569999999998</v>
      </c>
      <c r="I21" s="335">
        <f>E21+F21+G21+H21</f>
        <v>194.39057</v>
      </c>
      <c r="J21" s="325">
        <f>ROUND(I21,2)</f>
        <v>194.39</v>
      </c>
      <c r="K21" s="37"/>
      <c r="M21" s="38"/>
      <c r="N21" s="34"/>
    </row>
    <row r="22" spans="1:14" x14ac:dyDescent="0.35">
      <c r="B22" s="27" t="s">
        <v>93</v>
      </c>
      <c r="C22" s="40" t="s">
        <v>1049</v>
      </c>
      <c r="D22" s="28">
        <v>4</v>
      </c>
      <c r="E22" s="323">
        <v>86.24</v>
      </c>
      <c r="F22" s="29">
        <f>$C$5*E22</f>
        <v>8.6240000000000006</v>
      </c>
      <c r="G22" s="324">
        <f t="shared" si="6"/>
        <v>53.35</v>
      </c>
      <c r="H22" s="29">
        <f>(0.3942+$C$5)*G22</f>
        <v>26.365569999999998</v>
      </c>
      <c r="I22" s="335">
        <f>E22+F22+G22+H22</f>
        <v>174.57956999999999</v>
      </c>
      <c r="J22" s="325">
        <f>ROUND(I22,2)</f>
        <v>174.58</v>
      </c>
      <c r="K22" s="37"/>
      <c r="M22" s="38"/>
      <c r="N22" s="34"/>
    </row>
    <row r="23" spans="1:14" x14ac:dyDescent="0.35">
      <c r="E23" s="39"/>
      <c r="F23" s="29"/>
      <c r="H23" s="29"/>
      <c r="I23" s="335"/>
      <c r="J23" s="317"/>
      <c r="M23" s="38"/>
      <c r="N23" s="34"/>
    </row>
    <row r="24" spans="1:14" x14ac:dyDescent="0.35">
      <c r="E24" s="39"/>
      <c r="F24" s="29"/>
      <c r="H24" s="29"/>
      <c r="I24" s="335"/>
      <c r="J24" s="317"/>
      <c r="M24" s="38"/>
      <c r="N24" s="34"/>
    </row>
    <row r="25" spans="1:14" x14ac:dyDescent="0.35">
      <c r="A25" s="27" t="s">
        <v>102</v>
      </c>
      <c r="E25" s="39"/>
      <c r="F25" s="29"/>
      <c r="H25" s="29"/>
      <c r="I25" s="335"/>
      <c r="J25" s="317"/>
      <c r="M25" s="38"/>
      <c r="N25" s="34"/>
    </row>
    <row r="26" spans="1:14" x14ac:dyDescent="0.35">
      <c r="B26" s="35" t="s">
        <v>91</v>
      </c>
      <c r="C26" s="27" t="s">
        <v>92</v>
      </c>
      <c r="D26" s="28" t="s">
        <v>101</v>
      </c>
      <c r="E26" s="39"/>
      <c r="F26" s="29"/>
      <c r="H26" s="29"/>
      <c r="I26" s="335"/>
      <c r="J26" s="317"/>
      <c r="M26" s="38"/>
      <c r="N26" s="34"/>
    </row>
    <row r="27" spans="1:14" x14ac:dyDescent="0.35">
      <c r="B27" s="27" t="s">
        <v>93</v>
      </c>
      <c r="C27" s="27" t="s">
        <v>182</v>
      </c>
      <c r="D27" s="28">
        <v>16</v>
      </c>
      <c r="E27" s="326">
        <v>500</v>
      </c>
      <c r="F27" s="29">
        <f>$C$5*E27</f>
        <v>50</v>
      </c>
      <c r="G27" s="324">
        <f t="shared" ref="G27:G33" si="7">(29.45+13.55+5.5)*1.1</f>
        <v>53.35</v>
      </c>
      <c r="H27" s="29">
        <f>(0.3942+$C$5)*G27</f>
        <v>26.365569999999998</v>
      </c>
      <c r="I27" s="335">
        <f>E27+F27+G27+H27</f>
        <v>629.71557000000007</v>
      </c>
      <c r="J27" s="325">
        <f>ROUND(I27,2)</f>
        <v>629.72</v>
      </c>
      <c r="M27" s="38"/>
      <c r="N27" s="34"/>
    </row>
    <row r="28" spans="1:14" x14ac:dyDescent="0.35">
      <c r="B28" s="27" t="s">
        <v>93</v>
      </c>
      <c r="C28" s="41" t="s">
        <v>1050</v>
      </c>
      <c r="D28" s="28">
        <v>5</v>
      </c>
      <c r="E28" s="323">
        <v>275.47000000000003</v>
      </c>
      <c r="F28" s="29">
        <f t="shared" ref="F28:F33" si="8">$C$5*E28</f>
        <v>27.547000000000004</v>
      </c>
      <c r="G28" s="324">
        <f t="shared" si="7"/>
        <v>53.35</v>
      </c>
      <c r="H28" s="29">
        <f t="shared" ref="H28:H33" si="9">(0.3942+$C$5)*G28</f>
        <v>26.365569999999998</v>
      </c>
      <c r="I28" s="335">
        <f t="shared" ref="I28:I33" si="10">E28+F28+G28+H28</f>
        <v>382.73257000000007</v>
      </c>
      <c r="J28" s="325">
        <f t="shared" ref="J28:J33" si="11">ROUND(I28,2)</f>
        <v>382.73</v>
      </c>
      <c r="K28" s="37">
        <f>(J28-(E28+G28))/(E28+G28)</f>
        <v>0.16394988139407565</v>
      </c>
      <c r="M28" s="38"/>
      <c r="N28" s="34"/>
    </row>
    <row r="29" spans="1:14" x14ac:dyDescent="0.35">
      <c r="B29" s="27" t="s">
        <v>93</v>
      </c>
      <c r="C29" s="27" t="s">
        <v>1051</v>
      </c>
      <c r="D29" s="28">
        <v>2.5</v>
      </c>
      <c r="E29" s="323">
        <v>226.87</v>
      </c>
      <c r="F29" s="29">
        <f t="shared" si="8"/>
        <v>22.687000000000001</v>
      </c>
      <c r="G29" s="324">
        <f t="shared" si="7"/>
        <v>53.35</v>
      </c>
      <c r="H29" s="29">
        <f t="shared" si="9"/>
        <v>26.365569999999998</v>
      </c>
      <c r="I29" s="335">
        <f t="shared" si="10"/>
        <v>329.27257000000003</v>
      </c>
      <c r="J29" s="325">
        <f t="shared" si="11"/>
        <v>329.27</v>
      </c>
      <c r="K29" s="37">
        <f>(J29-(E29+G29))/(E29+G29)</f>
        <v>0.1750410391834985</v>
      </c>
      <c r="M29" s="38"/>
      <c r="N29" s="34"/>
    </row>
    <row r="30" spans="1:14" x14ac:dyDescent="0.35">
      <c r="B30" s="27" t="s">
        <v>93</v>
      </c>
      <c r="C30" s="27" t="s">
        <v>680</v>
      </c>
      <c r="D30" s="28">
        <v>1.6</v>
      </c>
      <c r="E30" s="323">
        <v>166.66</v>
      </c>
      <c r="F30" s="29">
        <f t="shared" si="8"/>
        <v>16.666</v>
      </c>
      <c r="G30" s="324">
        <f t="shared" si="7"/>
        <v>53.35</v>
      </c>
      <c r="H30" s="29">
        <f t="shared" si="9"/>
        <v>26.365569999999998</v>
      </c>
      <c r="I30" s="335">
        <f t="shared" si="10"/>
        <v>263.04156999999998</v>
      </c>
      <c r="J30" s="325">
        <f t="shared" si="11"/>
        <v>263.04000000000002</v>
      </c>
      <c r="K30" s="37">
        <f>(J30-(E30+G30))/(E30+G30)</f>
        <v>0.19558201899913655</v>
      </c>
      <c r="M30" s="38"/>
      <c r="N30" s="34"/>
    </row>
    <row r="31" spans="1:14" x14ac:dyDescent="0.35">
      <c r="B31" s="27" t="s">
        <v>93</v>
      </c>
      <c r="C31" s="27" t="s">
        <v>1052</v>
      </c>
      <c r="D31" s="28">
        <v>1.5</v>
      </c>
      <c r="E31" s="323">
        <v>98.47</v>
      </c>
      <c r="F31" s="29">
        <f t="shared" si="8"/>
        <v>9.8470000000000013</v>
      </c>
      <c r="G31" s="324">
        <f t="shared" si="7"/>
        <v>53.35</v>
      </c>
      <c r="H31" s="29">
        <f t="shared" si="9"/>
        <v>26.365569999999998</v>
      </c>
      <c r="I31" s="335">
        <f t="shared" si="10"/>
        <v>188.03256999999999</v>
      </c>
      <c r="J31" s="325">
        <f t="shared" si="11"/>
        <v>188.03</v>
      </c>
      <c r="K31" s="37">
        <f>(J31-(E31+G31))/(E31+G31)</f>
        <v>0.23850612567514168</v>
      </c>
      <c r="M31" s="38"/>
      <c r="N31" s="34"/>
    </row>
    <row r="32" spans="1:14" x14ac:dyDescent="0.35">
      <c r="B32" s="27" t="s">
        <v>93</v>
      </c>
      <c r="C32" s="27" t="s">
        <v>1053</v>
      </c>
      <c r="D32" s="28">
        <v>1.2</v>
      </c>
      <c r="E32" s="323">
        <v>76.83</v>
      </c>
      <c r="F32" s="29">
        <f t="shared" si="8"/>
        <v>7.6829999999999998</v>
      </c>
      <c r="G32" s="324">
        <f t="shared" si="7"/>
        <v>53.35</v>
      </c>
      <c r="H32" s="29">
        <f t="shared" si="9"/>
        <v>26.365569999999998</v>
      </c>
      <c r="I32" s="335">
        <f t="shared" si="10"/>
        <v>164.22856999999999</v>
      </c>
      <c r="J32" s="325">
        <f t="shared" si="11"/>
        <v>164.23</v>
      </c>
      <c r="K32" s="37"/>
      <c r="M32" s="38"/>
      <c r="N32" s="34"/>
    </row>
    <row r="33" spans="1:14" x14ac:dyDescent="0.35">
      <c r="B33" s="27" t="s">
        <v>93</v>
      </c>
      <c r="C33" s="27" t="s">
        <v>1054</v>
      </c>
      <c r="D33" s="28">
        <v>0.8</v>
      </c>
      <c r="E33" s="323">
        <v>93.27</v>
      </c>
      <c r="F33" s="29">
        <f t="shared" si="8"/>
        <v>9.327</v>
      </c>
      <c r="G33" s="324">
        <f t="shared" si="7"/>
        <v>53.35</v>
      </c>
      <c r="H33" s="29">
        <f t="shared" si="9"/>
        <v>26.365569999999998</v>
      </c>
      <c r="I33" s="335">
        <f t="shared" si="10"/>
        <v>182.31256999999999</v>
      </c>
      <c r="J33" s="325">
        <f t="shared" si="11"/>
        <v>182.31</v>
      </c>
      <c r="K33" s="37"/>
      <c r="M33" s="38"/>
      <c r="N33" s="34"/>
    </row>
    <row r="34" spans="1:14" x14ac:dyDescent="0.35">
      <c r="E34" s="39"/>
      <c r="F34" s="29"/>
      <c r="H34" s="29"/>
      <c r="I34" s="335"/>
      <c r="J34" s="317"/>
      <c r="M34" s="38"/>
      <c r="N34" s="34"/>
    </row>
    <row r="35" spans="1:14" x14ac:dyDescent="0.35">
      <c r="A35" s="27" t="s">
        <v>104</v>
      </c>
      <c r="E35" s="39"/>
      <c r="F35" s="29"/>
      <c r="H35" s="29"/>
      <c r="I35" s="335"/>
      <c r="J35" s="317"/>
      <c r="M35" s="38"/>
      <c r="N35" s="34"/>
    </row>
    <row r="36" spans="1:14" x14ac:dyDescent="0.35">
      <c r="B36" s="35" t="s">
        <v>91</v>
      </c>
      <c r="C36" s="27" t="s">
        <v>92</v>
      </c>
      <c r="D36" s="28" t="s">
        <v>101</v>
      </c>
      <c r="E36" s="39"/>
      <c r="F36" s="29"/>
      <c r="H36" s="29"/>
      <c r="I36" s="335"/>
      <c r="J36" s="317"/>
      <c r="M36" s="38"/>
      <c r="N36" s="34"/>
    </row>
    <row r="37" spans="1:14" x14ac:dyDescent="0.35">
      <c r="B37" s="27" t="s">
        <v>105</v>
      </c>
      <c r="C37" s="327" t="s">
        <v>1055</v>
      </c>
      <c r="D37" s="328">
        <v>1</v>
      </c>
      <c r="E37" s="329">
        <v>40.590000000000003</v>
      </c>
      <c r="F37" s="29">
        <f>$C$5*E37</f>
        <v>4.0590000000000002</v>
      </c>
      <c r="G37" s="324">
        <f t="shared" ref="G37:G39" si="12">(29.45+13.55+5.5)*1.1</f>
        <v>53.35</v>
      </c>
      <c r="H37" s="29">
        <f>(0.3942+$C$5)*G37</f>
        <v>26.365569999999998</v>
      </c>
      <c r="I37" s="335">
        <f>E37+F37+G37+H37</f>
        <v>124.36456999999999</v>
      </c>
      <c r="J37" s="325">
        <f>ROUND(I37,2)</f>
        <v>124.36</v>
      </c>
      <c r="K37" s="37">
        <f>(J37-(E37+G37))/(E37+G37)</f>
        <v>0.32382371726634024</v>
      </c>
      <c r="M37" s="38"/>
      <c r="N37" s="34"/>
    </row>
    <row r="38" spans="1:14" ht="14.15" customHeight="1" x14ac:dyDescent="0.35">
      <c r="B38" s="27" t="s">
        <v>106</v>
      </c>
      <c r="C38" s="219" t="s">
        <v>107</v>
      </c>
      <c r="D38" s="328">
        <v>1.3</v>
      </c>
      <c r="E38" s="329">
        <v>63.36</v>
      </c>
      <c r="F38" s="29">
        <f>$C$5*E38</f>
        <v>6.3360000000000003</v>
      </c>
      <c r="G38" s="324">
        <f t="shared" si="12"/>
        <v>53.35</v>
      </c>
      <c r="H38" s="29">
        <f>(0.3942+$C$5)*G38</f>
        <v>26.365569999999998</v>
      </c>
      <c r="I38" s="335">
        <f>E38+F38+G38+H38</f>
        <v>149.41156999999998</v>
      </c>
      <c r="J38" s="325">
        <f>ROUND(I38,2)</f>
        <v>149.41</v>
      </c>
      <c r="K38" s="37">
        <f>(J38-(E38+G38))/(E38+G38)</f>
        <v>0.28018164681689645</v>
      </c>
      <c r="M38" s="38"/>
      <c r="N38" s="34"/>
    </row>
    <row r="39" spans="1:14" x14ac:dyDescent="0.35">
      <c r="B39" s="27" t="s">
        <v>106</v>
      </c>
      <c r="C39" s="220" t="s">
        <v>1056</v>
      </c>
      <c r="D39" s="328">
        <v>1.75</v>
      </c>
      <c r="E39" s="329">
        <v>77.34</v>
      </c>
      <c r="F39" s="29">
        <f>$C$5*E39</f>
        <v>7.7340000000000009</v>
      </c>
      <c r="G39" s="324">
        <f t="shared" si="12"/>
        <v>53.35</v>
      </c>
      <c r="H39" s="29">
        <f>(0.3942+$C$5)*G39</f>
        <v>26.365569999999998</v>
      </c>
      <c r="I39" s="335">
        <f>E39+F39+G39+H39</f>
        <v>164.78957</v>
      </c>
      <c r="J39" s="325">
        <f>ROUND(I39,2)</f>
        <v>164.79</v>
      </c>
      <c r="K39" s="37">
        <f>(J39-(E39+G39))/(E39+G39)</f>
        <v>0.26092279439895932</v>
      </c>
      <c r="M39" s="38"/>
      <c r="N39" s="34"/>
    </row>
    <row r="40" spans="1:14" x14ac:dyDescent="0.35">
      <c r="E40" s="39"/>
      <c r="F40" s="29"/>
      <c r="H40" s="29"/>
      <c r="I40" s="335"/>
      <c r="J40" s="317"/>
      <c r="M40" s="38"/>
      <c r="N40" s="34"/>
    </row>
    <row r="41" spans="1:14" x14ac:dyDescent="0.35">
      <c r="A41" s="27" t="s">
        <v>108</v>
      </c>
      <c r="E41" s="39"/>
      <c r="F41" s="29"/>
      <c r="H41" s="29"/>
      <c r="I41" s="335"/>
      <c r="J41" s="317"/>
      <c r="M41" s="38"/>
      <c r="N41" s="34"/>
    </row>
    <row r="42" spans="1:14" x14ac:dyDescent="0.35">
      <c r="B42" s="35" t="s">
        <v>91</v>
      </c>
      <c r="C42" s="27" t="s">
        <v>92</v>
      </c>
      <c r="D42" s="28" t="s">
        <v>109</v>
      </c>
      <c r="E42" s="39"/>
      <c r="F42" s="29"/>
      <c r="H42" s="29"/>
      <c r="I42" s="335"/>
      <c r="J42" s="317"/>
      <c r="M42" s="38"/>
      <c r="N42" s="34"/>
    </row>
    <row r="43" spans="1:14" x14ac:dyDescent="0.35">
      <c r="B43" s="27" t="s">
        <v>93</v>
      </c>
      <c r="C43" s="221" t="s">
        <v>110</v>
      </c>
      <c r="D43" s="328" t="s">
        <v>111</v>
      </c>
      <c r="E43" s="329">
        <v>265.19</v>
      </c>
      <c r="F43" s="29">
        <f>$C$5*E43</f>
        <v>26.519000000000002</v>
      </c>
      <c r="G43" s="324">
        <f t="shared" ref="G43:G46" si="13">(29.45+13.55+5.5)*1.1</f>
        <v>53.35</v>
      </c>
      <c r="H43" s="29">
        <f>(0.3942+$C$5)*G43</f>
        <v>26.365569999999998</v>
      </c>
      <c r="I43" s="335">
        <f>E43+F43+G43+H43</f>
        <v>371.42457000000002</v>
      </c>
      <c r="J43" s="325">
        <f>ROUND(I43,2)</f>
        <v>371.42</v>
      </c>
      <c r="K43" s="37">
        <f>(J43-(E43+G43))/(E43+G43)</f>
        <v>0.16600740880266213</v>
      </c>
      <c r="M43" s="38"/>
      <c r="N43" s="34"/>
    </row>
    <row r="44" spans="1:14" x14ac:dyDescent="0.35">
      <c r="B44" s="27" t="s">
        <v>93</v>
      </c>
      <c r="C44" s="221" t="s">
        <v>112</v>
      </c>
      <c r="D44" s="328" t="s">
        <v>113</v>
      </c>
      <c r="E44" s="329">
        <v>289.41000000000003</v>
      </c>
      <c r="F44" s="29">
        <f>$C$5*E44</f>
        <v>28.941000000000003</v>
      </c>
      <c r="G44" s="324">
        <f t="shared" si="13"/>
        <v>53.35</v>
      </c>
      <c r="H44" s="29">
        <f>(0.3942+$C$5)*G44</f>
        <v>26.365569999999998</v>
      </c>
      <c r="I44" s="335">
        <f>E44+F44+G44+H44</f>
        <v>398.06657000000001</v>
      </c>
      <c r="J44" s="325">
        <f>ROUND(I44,2)</f>
        <v>398.07</v>
      </c>
      <c r="K44" s="37">
        <f>(J44-(E44+G44))/(E44+G44)</f>
        <v>0.16136655385692594</v>
      </c>
      <c r="M44" s="38"/>
      <c r="N44" s="34"/>
    </row>
    <row r="45" spans="1:14" x14ac:dyDescent="0.35">
      <c r="B45" s="27" t="s">
        <v>93</v>
      </c>
      <c r="C45" s="221" t="s">
        <v>1057</v>
      </c>
      <c r="D45" s="328" t="s">
        <v>111</v>
      </c>
      <c r="E45" s="329">
        <v>265.19</v>
      </c>
      <c r="F45" s="29">
        <f>$C$5*E45</f>
        <v>26.519000000000002</v>
      </c>
      <c r="G45" s="324">
        <f t="shared" si="13"/>
        <v>53.35</v>
      </c>
      <c r="H45" s="29">
        <f>(0.3942+$C$5)*G45</f>
        <v>26.365569999999998</v>
      </c>
      <c r="I45" s="335">
        <f>E45+F45+G45+H45</f>
        <v>371.42457000000002</v>
      </c>
      <c r="J45" s="325">
        <f>ROUND(I45,2)</f>
        <v>371.42</v>
      </c>
      <c r="K45" s="37">
        <f>(J45-(E45+G45))/(E45+G45)</f>
        <v>0.16600740880266213</v>
      </c>
      <c r="M45" s="38"/>
      <c r="N45" s="34"/>
    </row>
    <row r="46" spans="1:14" x14ac:dyDescent="0.35">
      <c r="B46" s="27" t="s">
        <v>93</v>
      </c>
      <c r="C46" s="221" t="s">
        <v>1058</v>
      </c>
      <c r="D46" s="328" t="s">
        <v>114</v>
      </c>
      <c r="E46" s="329">
        <v>534.25</v>
      </c>
      <c r="F46" s="29">
        <f>$C$5*E46</f>
        <v>53.425000000000004</v>
      </c>
      <c r="G46" s="324">
        <f t="shared" si="13"/>
        <v>53.35</v>
      </c>
      <c r="H46" s="29">
        <f>(0.3942+$C$5)*G46</f>
        <v>26.365569999999998</v>
      </c>
      <c r="I46" s="335">
        <f>E46+F46+G46+H46</f>
        <v>667.39057000000003</v>
      </c>
      <c r="J46" s="325">
        <f>ROUND(I46,2)</f>
        <v>667.39</v>
      </c>
      <c r="M46" s="38"/>
      <c r="N46" s="34"/>
    </row>
    <row r="47" spans="1:14" x14ac:dyDescent="0.35">
      <c r="C47" s="330"/>
      <c r="D47" s="328"/>
      <c r="E47" s="331"/>
      <c r="F47" s="29"/>
      <c r="H47" s="29"/>
      <c r="I47" s="335"/>
      <c r="J47" s="317"/>
      <c r="M47" s="38"/>
      <c r="N47" s="34"/>
    </row>
    <row r="48" spans="1:14" x14ac:dyDescent="0.35">
      <c r="A48" s="27" t="s">
        <v>115</v>
      </c>
      <c r="E48" s="39"/>
      <c r="F48" s="29"/>
      <c r="H48" s="29"/>
      <c r="I48" s="335"/>
      <c r="J48" s="317"/>
      <c r="M48" s="38"/>
      <c r="N48" s="34"/>
    </row>
    <row r="49" spans="1:14" x14ac:dyDescent="0.35">
      <c r="B49" s="35" t="s">
        <v>91</v>
      </c>
      <c r="C49" s="27" t="s">
        <v>92</v>
      </c>
      <c r="D49" s="28" t="s">
        <v>116</v>
      </c>
      <c r="E49" s="39"/>
      <c r="F49" s="29"/>
      <c r="H49" s="29"/>
      <c r="I49" s="335"/>
      <c r="J49" s="317"/>
      <c r="M49" s="38"/>
      <c r="N49" s="34"/>
    </row>
    <row r="50" spans="1:14" x14ac:dyDescent="0.35">
      <c r="B50" s="27" t="s">
        <v>93</v>
      </c>
      <c r="C50" s="27" t="s">
        <v>1059</v>
      </c>
      <c r="D50" s="28">
        <v>16</v>
      </c>
      <c r="E50" s="323">
        <v>139.43</v>
      </c>
      <c r="F50" s="29">
        <f>$C$5*E50</f>
        <v>13.943000000000001</v>
      </c>
      <c r="G50" s="324">
        <f t="shared" ref="G50:G52" si="14">(29.45+13.55+5.5)*1.1</f>
        <v>53.35</v>
      </c>
      <c r="H50" s="29">
        <f>(0.3942+$C$5)*G50</f>
        <v>26.365569999999998</v>
      </c>
      <c r="I50" s="335">
        <f>E50+F50+G50+H50</f>
        <v>233.08857</v>
      </c>
      <c r="J50" s="325">
        <f>ROUND(I50,2)</f>
        <v>233.09</v>
      </c>
      <c r="K50" s="37">
        <f>(J50-(E50+G50))/(E50+G50)</f>
        <v>0.20909845419649342</v>
      </c>
      <c r="M50" s="38"/>
      <c r="N50" s="34"/>
    </row>
    <row r="51" spans="1:14" x14ac:dyDescent="0.35">
      <c r="B51" s="27" t="s">
        <v>93</v>
      </c>
      <c r="C51" s="27" t="s">
        <v>678</v>
      </c>
      <c r="D51" s="28" t="s">
        <v>117</v>
      </c>
      <c r="E51" s="323">
        <v>104.49</v>
      </c>
      <c r="F51" s="29">
        <f>$C$5*E51</f>
        <v>10.449</v>
      </c>
      <c r="G51" s="324">
        <f t="shared" si="14"/>
        <v>53.35</v>
      </c>
      <c r="H51" s="29">
        <f>(0.3942+$C$5)*G51</f>
        <v>26.365569999999998</v>
      </c>
      <c r="I51" s="335">
        <f>E51+F51+G51+H51</f>
        <v>194.65456999999998</v>
      </c>
      <c r="J51" s="325">
        <f>ROUND(I51,2)</f>
        <v>194.65</v>
      </c>
      <c r="K51" s="37">
        <f>(J51-(E51+G51))/(E51+G51)</f>
        <v>0.23321084642676129</v>
      </c>
      <c r="M51" s="38"/>
      <c r="N51" s="34"/>
    </row>
    <row r="52" spans="1:14" x14ac:dyDescent="0.35">
      <c r="B52" s="27" t="s">
        <v>93</v>
      </c>
      <c r="C52" s="27" t="s">
        <v>1060</v>
      </c>
      <c r="D52" s="332" t="s">
        <v>118</v>
      </c>
      <c r="E52" s="323">
        <v>97.48</v>
      </c>
      <c r="F52" s="29">
        <f>$C$5*E52</f>
        <v>9.7480000000000011</v>
      </c>
      <c r="G52" s="324">
        <f t="shared" si="14"/>
        <v>53.35</v>
      </c>
      <c r="H52" s="29">
        <f>(0.3942+$C$5)*G52</f>
        <v>26.365569999999998</v>
      </c>
      <c r="I52" s="335">
        <f>E52+F52+G52+H52</f>
        <v>186.94356999999999</v>
      </c>
      <c r="J52" s="325">
        <f>ROUND(I52,2)</f>
        <v>186.94</v>
      </c>
      <c r="K52" s="37">
        <f>(J52-(E52+G52))/(E52+G52)</f>
        <v>0.2394086057150433</v>
      </c>
      <c r="M52" s="38"/>
      <c r="N52" s="34"/>
    </row>
    <row r="53" spans="1:14" x14ac:dyDescent="0.35">
      <c r="E53" s="39"/>
      <c r="F53" s="29"/>
      <c r="G53" s="42"/>
      <c r="H53" s="29"/>
      <c r="I53" s="335"/>
      <c r="J53" s="317"/>
      <c r="M53" s="38"/>
      <c r="N53" s="34"/>
    </row>
    <row r="54" spans="1:14" x14ac:dyDescent="0.35">
      <c r="A54" s="27" t="s">
        <v>119</v>
      </c>
      <c r="E54" s="39"/>
      <c r="F54" s="29"/>
      <c r="G54" s="42"/>
      <c r="H54" s="29"/>
      <c r="I54" s="335"/>
      <c r="J54" s="317"/>
      <c r="M54" s="38"/>
      <c r="N54" s="34"/>
    </row>
    <row r="55" spans="1:14" x14ac:dyDescent="0.35">
      <c r="B55" s="35" t="s">
        <v>91</v>
      </c>
      <c r="C55" s="27" t="s">
        <v>92</v>
      </c>
      <c r="D55" s="28" t="s">
        <v>120</v>
      </c>
      <c r="E55" s="39"/>
      <c r="F55" s="29"/>
      <c r="G55" s="42"/>
      <c r="H55" s="29"/>
      <c r="I55" s="335"/>
      <c r="J55" s="317"/>
      <c r="M55" s="38"/>
      <c r="N55" s="34"/>
    </row>
    <row r="56" spans="1:14" x14ac:dyDescent="0.35">
      <c r="B56" s="27" t="s">
        <v>1061</v>
      </c>
      <c r="C56" s="27" t="s">
        <v>121</v>
      </c>
      <c r="D56" s="333">
        <v>2500</v>
      </c>
      <c r="E56" s="329">
        <v>27.88</v>
      </c>
      <c r="F56" s="29">
        <f>$C$5*E56</f>
        <v>2.7880000000000003</v>
      </c>
      <c r="G56" s="324">
        <f>(31.28+9.37+4.85)*1.1</f>
        <v>50.050000000000004</v>
      </c>
      <c r="H56" s="29">
        <f>(0.3942+$C$5)*G56</f>
        <v>24.73471</v>
      </c>
      <c r="I56" s="335">
        <f>E56+F56+G56+H56</f>
        <v>105.45271</v>
      </c>
      <c r="J56" s="325">
        <f>ROUND(I56,2)</f>
        <v>105.45</v>
      </c>
      <c r="K56" s="37">
        <f>(J56-(E56+G56))/(E56+G56)</f>
        <v>0.35313743102784539</v>
      </c>
      <c r="M56" s="38"/>
      <c r="N56" s="34"/>
    </row>
    <row r="57" spans="1:14" x14ac:dyDescent="0.35">
      <c r="B57" s="27" t="s">
        <v>122</v>
      </c>
      <c r="C57" s="27" t="s">
        <v>121</v>
      </c>
      <c r="D57" s="333">
        <v>3500</v>
      </c>
      <c r="E57" s="329">
        <v>43.49</v>
      </c>
      <c r="F57" s="29">
        <f>$C$5*E57</f>
        <v>4.3490000000000002</v>
      </c>
      <c r="G57" s="324">
        <f t="shared" ref="G57:G58" si="15">(31.28+9.37+4.85)*1.1</f>
        <v>50.050000000000004</v>
      </c>
      <c r="H57" s="29">
        <f>(0.3942+$C$5)*G57</f>
        <v>24.73471</v>
      </c>
      <c r="I57" s="335">
        <f>E57+F57+G57+H57</f>
        <v>122.62371000000002</v>
      </c>
      <c r="J57" s="325">
        <f>ROUND(I57,2)</f>
        <v>122.62</v>
      </c>
      <c r="K57" s="37">
        <f>(J57-(E57+G57))/(E57+G57)</f>
        <v>0.31088304468676498</v>
      </c>
      <c r="M57" s="38"/>
      <c r="N57" s="34"/>
    </row>
    <row r="58" spans="1:14" x14ac:dyDescent="0.35">
      <c r="B58" s="27" t="s">
        <v>122</v>
      </c>
      <c r="C58" s="27" t="s">
        <v>121</v>
      </c>
      <c r="D58" s="333">
        <v>4000</v>
      </c>
      <c r="E58" s="329">
        <v>51.13</v>
      </c>
      <c r="F58" s="29">
        <f>$C$5*E58</f>
        <v>5.1130000000000004</v>
      </c>
      <c r="G58" s="324">
        <f t="shared" si="15"/>
        <v>50.050000000000004</v>
      </c>
      <c r="H58" s="29">
        <f>(0.3942+$C$5)*G58</f>
        <v>24.73471</v>
      </c>
      <c r="I58" s="335">
        <f>E58+F58+G58+H58</f>
        <v>131.02771000000001</v>
      </c>
      <c r="J58" s="325">
        <f>ROUND(I58,2)</f>
        <v>131.03</v>
      </c>
      <c r="K58" s="37">
        <f>(J58-(E58+G58))/(E58+G58)</f>
        <v>0.29501877841470636</v>
      </c>
      <c r="M58" s="38"/>
      <c r="N58" s="34"/>
    </row>
    <row r="59" spans="1:14" x14ac:dyDescent="0.35">
      <c r="E59" s="39"/>
      <c r="F59" s="29"/>
      <c r="G59" s="43"/>
      <c r="H59" s="29"/>
      <c r="I59" s="335"/>
      <c r="J59" s="317"/>
      <c r="M59" s="38"/>
      <c r="N59" s="34"/>
    </row>
    <row r="60" spans="1:14" x14ac:dyDescent="0.35">
      <c r="A60" s="27" t="s">
        <v>123</v>
      </c>
      <c r="E60" s="39"/>
      <c r="F60" s="29"/>
      <c r="G60" s="43"/>
      <c r="H60" s="29"/>
      <c r="I60" s="335"/>
      <c r="J60" s="317"/>
      <c r="M60" s="38"/>
      <c r="N60" s="34"/>
    </row>
    <row r="61" spans="1:14" x14ac:dyDescent="0.35">
      <c r="B61" s="35" t="s">
        <v>91</v>
      </c>
      <c r="C61" s="27" t="s">
        <v>92</v>
      </c>
      <c r="D61" s="28" t="s">
        <v>124</v>
      </c>
      <c r="E61" s="39"/>
      <c r="F61" s="29"/>
      <c r="G61" s="43"/>
      <c r="H61" s="29"/>
      <c r="I61" s="335"/>
      <c r="J61" s="317"/>
      <c r="M61" s="38"/>
      <c r="N61" s="34"/>
    </row>
    <row r="62" spans="1:14" x14ac:dyDescent="0.35">
      <c r="B62" s="27" t="s">
        <v>125</v>
      </c>
      <c r="C62" s="27" t="s">
        <v>126</v>
      </c>
      <c r="D62" s="334" t="s">
        <v>127</v>
      </c>
      <c r="E62" s="323">
        <v>62.56</v>
      </c>
      <c r="F62" s="29">
        <f t="shared" ref="F62" si="16">$C$5*E62</f>
        <v>6.2560000000000002</v>
      </c>
      <c r="G62" s="324">
        <f t="shared" ref="G62:G70" si="17">(31.28+9.37+4.85)*1.1</f>
        <v>50.050000000000004</v>
      </c>
      <c r="H62" s="29">
        <f t="shared" ref="H62:H70" si="18">(0.3942+$C$5)*G62</f>
        <v>24.73471</v>
      </c>
      <c r="I62" s="335">
        <f t="shared" ref="I62" si="19">E62+F62+G62+H62</f>
        <v>143.60071000000002</v>
      </c>
      <c r="J62" s="325">
        <f t="shared" ref="J62:J69" si="20">ROUND(I62,2)</f>
        <v>143.6</v>
      </c>
      <c r="K62" s="37">
        <f>(J62-(E62+G62))/(E62+G62)</f>
        <v>0.27519758458396215</v>
      </c>
      <c r="M62" s="38"/>
      <c r="N62" s="34"/>
    </row>
    <row r="63" spans="1:14" x14ac:dyDescent="0.35">
      <c r="B63" s="27" t="s">
        <v>125</v>
      </c>
      <c r="C63" s="27" t="s">
        <v>128</v>
      </c>
      <c r="D63" s="334" t="s">
        <v>129</v>
      </c>
      <c r="E63" s="323">
        <v>80.709999999999994</v>
      </c>
      <c r="F63" s="29">
        <f>$C$5*E63</f>
        <v>8.0709999999999997</v>
      </c>
      <c r="G63" s="324">
        <f t="shared" si="17"/>
        <v>50.050000000000004</v>
      </c>
      <c r="H63" s="29">
        <f t="shared" si="18"/>
        <v>24.73471</v>
      </c>
      <c r="I63" s="335">
        <f>E63+F63+G63+H63</f>
        <v>163.56571</v>
      </c>
      <c r="J63" s="325">
        <f t="shared" si="20"/>
        <v>163.57</v>
      </c>
      <c r="K63" s="37"/>
      <c r="M63" s="38"/>
      <c r="N63" s="34"/>
    </row>
    <row r="64" spans="1:14" x14ac:dyDescent="0.35">
      <c r="B64" s="27" t="s">
        <v>93</v>
      </c>
      <c r="C64" s="40" t="s">
        <v>130</v>
      </c>
      <c r="D64" s="28">
        <v>40</v>
      </c>
      <c r="E64" s="323">
        <v>123.6</v>
      </c>
      <c r="F64" s="29">
        <f t="shared" ref="F64:F70" si="21">$C$5*E64</f>
        <v>12.36</v>
      </c>
      <c r="G64" s="324">
        <f t="shared" si="17"/>
        <v>50.050000000000004</v>
      </c>
      <c r="H64" s="29">
        <f t="shared" si="18"/>
        <v>24.73471</v>
      </c>
      <c r="I64" s="335">
        <f t="shared" ref="I64:I70" si="22">E64+F64+G64+H64</f>
        <v>210.74471</v>
      </c>
      <c r="J64" s="325">
        <f t="shared" si="20"/>
        <v>210.74</v>
      </c>
      <c r="K64" s="37">
        <f>(J64-(E64+G64))/(E64+G64)</f>
        <v>0.21359055571551974</v>
      </c>
      <c r="M64" s="34"/>
      <c r="N64" s="34"/>
    </row>
    <row r="65" spans="1:14" x14ac:dyDescent="0.35">
      <c r="B65" s="27" t="s">
        <v>93</v>
      </c>
      <c r="C65" s="27" t="s">
        <v>1062</v>
      </c>
      <c r="D65" s="28">
        <v>60</v>
      </c>
      <c r="E65" s="323">
        <v>127.58</v>
      </c>
      <c r="F65" s="29">
        <f t="shared" si="21"/>
        <v>12.758000000000001</v>
      </c>
      <c r="G65" s="324">
        <f t="shared" si="17"/>
        <v>50.050000000000004</v>
      </c>
      <c r="H65" s="29">
        <f t="shared" si="18"/>
        <v>24.73471</v>
      </c>
      <c r="I65" s="335">
        <f t="shared" si="22"/>
        <v>215.12271000000001</v>
      </c>
      <c r="J65" s="325">
        <f t="shared" si="20"/>
        <v>215.12</v>
      </c>
      <c r="K65" s="37">
        <f>(J65-(E65+G65))/(E65+G65)</f>
        <v>0.2110566908742893</v>
      </c>
      <c r="M65" s="38"/>
      <c r="N65" s="34"/>
    </row>
    <row r="66" spans="1:14" x14ac:dyDescent="0.35">
      <c r="B66" s="27" t="s">
        <v>93</v>
      </c>
      <c r="C66" s="27" t="s">
        <v>131</v>
      </c>
      <c r="D66" s="28">
        <v>100</v>
      </c>
      <c r="E66" s="323">
        <v>357.82</v>
      </c>
      <c r="F66" s="29">
        <f t="shared" si="21"/>
        <v>35.782000000000004</v>
      </c>
      <c r="G66" s="324">
        <f t="shared" si="17"/>
        <v>50.050000000000004</v>
      </c>
      <c r="H66" s="29">
        <f t="shared" si="18"/>
        <v>24.73471</v>
      </c>
      <c r="I66" s="335">
        <f t="shared" si="22"/>
        <v>468.38670999999999</v>
      </c>
      <c r="J66" s="325">
        <f t="shared" si="20"/>
        <v>468.39</v>
      </c>
      <c r="K66" s="37">
        <f>(J66-(E66+G66))/(E66+G66)</f>
        <v>0.14838061146934067</v>
      </c>
      <c r="M66" s="38"/>
      <c r="N66" s="34"/>
    </row>
    <row r="67" spans="1:14" x14ac:dyDescent="0.35">
      <c r="B67" s="27" t="s">
        <v>93</v>
      </c>
      <c r="C67" s="40" t="s">
        <v>132</v>
      </c>
      <c r="D67" s="334" t="s">
        <v>133</v>
      </c>
      <c r="E67" s="323">
        <v>108.07</v>
      </c>
      <c r="F67" s="29">
        <f t="shared" si="21"/>
        <v>10.807</v>
      </c>
      <c r="G67" s="324">
        <f t="shared" si="17"/>
        <v>50.050000000000004</v>
      </c>
      <c r="H67" s="29">
        <f t="shared" si="18"/>
        <v>24.73471</v>
      </c>
      <c r="I67" s="335">
        <f t="shared" si="22"/>
        <v>193.66171</v>
      </c>
      <c r="J67" s="325">
        <f t="shared" si="20"/>
        <v>193.66</v>
      </c>
      <c r="K67" s="37"/>
      <c r="M67" s="38"/>
      <c r="N67" s="34"/>
    </row>
    <row r="68" spans="1:14" x14ac:dyDescent="0.35">
      <c r="B68" s="27" t="s">
        <v>93</v>
      </c>
      <c r="C68" s="40" t="s">
        <v>134</v>
      </c>
      <c r="D68" s="334" t="s">
        <v>135</v>
      </c>
      <c r="E68" s="323">
        <v>123.96</v>
      </c>
      <c r="F68" s="29">
        <f t="shared" si="21"/>
        <v>12.396000000000001</v>
      </c>
      <c r="G68" s="324">
        <f t="shared" si="17"/>
        <v>50.050000000000004</v>
      </c>
      <c r="H68" s="29">
        <f t="shared" si="18"/>
        <v>24.73471</v>
      </c>
      <c r="I68" s="335">
        <f t="shared" si="22"/>
        <v>211.14071000000001</v>
      </c>
      <c r="J68" s="325">
        <f t="shared" si="20"/>
        <v>211.14</v>
      </c>
      <c r="K68" s="37"/>
      <c r="M68" s="38"/>
      <c r="N68" s="34"/>
    </row>
    <row r="69" spans="1:14" x14ac:dyDescent="0.35">
      <c r="B69" s="27" t="s">
        <v>93</v>
      </c>
      <c r="C69" s="40" t="s">
        <v>136</v>
      </c>
      <c r="D69" s="334" t="s">
        <v>137</v>
      </c>
      <c r="E69" s="323">
        <v>151.77000000000001</v>
      </c>
      <c r="F69" s="29">
        <f t="shared" si="21"/>
        <v>15.177000000000001</v>
      </c>
      <c r="G69" s="324">
        <f t="shared" si="17"/>
        <v>50.050000000000004</v>
      </c>
      <c r="H69" s="29">
        <f t="shared" si="18"/>
        <v>24.73471</v>
      </c>
      <c r="I69" s="335">
        <f t="shared" si="22"/>
        <v>241.73171000000002</v>
      </c>
      <c r="J69" s="325">
        <f t="shared" si="20"/>
        <v>241.73</v>
      </c>
      <c r="K69" s="37"/>
      <c r="M69" s="38"/>
      <c r="N69" s="34"/>
    </row>
    <row r="70" spans="1:14" x14ac:dyDescent="0.35">
      <c r="B70" s="27" t="s">
        <v>93</v>
      </c>
      <c r="C70" s="40" t="s">
        <v>677</v>
      </c>
      <c r="D70" s="334" t="s">
        <v>138</v>
      </c>
      <c r="E70" s="323">
        <v>158.97</v>
      </c>
      <c r="F70" s="29">
        <f t="shared" si="21"/>
        <v>15.897</v>
      </c>
      <c r="G70" s="324">
        <f t="shared" si="17"/>
        <v>50.050000000000004</v>
      </c>
      <c r="H70" s="29">
        <f t="shared" si="18"/>
        <v>24.73471</v>
      </c>
      <c r="I70" s="335">
        <f t="shared" si="22"/>
        <v>249.65171000000001</v>
      </c>
      <c r="J70" s="325">
        <f>ROUND(I70,2)</f>
        <v>249.65</v>
      </c>
      <c r="K70" s="37"/>
      <c r="M70" s="38"/>
      <c r="N70" s="34"/>
    </row>
    <row r="71" spans="1:14" x14ac:dyDescent="0.35">
      <c r="C71" s="40"/>
      <c r="E71" s="39"/>
      <c r="F71" s="29"/>
      <c r="H71" s="29"/>
      <c r="I71" s="335"/>
      <c r="J71" s="317"/>
      <c r="K71" s="37"/>
      <c r="M71" s="38"/>
      <c r="N71" s="34"/>
    </row>
    <row r="72" spans="1:14" x14ac:dyDescent="0.35">
      <c r="A72" s="27" t="s">
        <v>139</v>
      </c>
      <c r="C72" s="40"/>
      <c r="E72" s="39"/>
      <c r="F72" s="29"/>
      <c r="H72" s="29"/>
      <c r="I72" s="335"/>
      <c r="J72" s="317"/>
      <c r="K72" s="37"/>
      <c r="M72" s="38"/>
      <c r="N72" s="34"/>
    </row>
    <row r="73" spans="1:14" x14ac:dyDescent="0.35">
      <c r="B73" s="27" t="s">
        <v>140</v>
      </c>
      <c r="C73" s="40"/>
      <c r="D73" s="34"/>
      <c r="E73" s="323">
        <v>125</v>
      </c>
      <c r="F73" s="29">
        <f>$C$5*E73</f>
        <v>12.5</v>
      </c>
      <c r="G73" s="324">
        <f>(31.28+9.37+4.85)*1.1</f>
        <v>50.050000000000004</v>
      </c>
      <c r="H73" s="29">
        <f>(0.3942+$C$5)*G73</f>
        <v>24.73471</v>
      </c>
      <c r="I73" s="335">
        <f>E73+F73+G73+H73</f>
        <v>212.28471000000002</v>
      </c>
      <c r="J73" s="325">
        <f>ROUND(I73,2)</f>
        <v>212.28</v>
      </c>
      <c r="K73" s="37"/>
      <c r="M73" s="38"/>
      <c r="N73" s="34"/>
    </row>
    <row r="74" spans="1:14" x14ac:dyDescent="0.35">
      <c r="E74" s="39"/>
      <c r="G74" s="42"/>
      <c r="I74" s="335"/>
      <c r="J74" s="27"/>
      <c r="K74" s="37"/>
      <c r="M74" s="38"/>
      <c r="N74" s="34"/>
    </row>
    <row r="75" spans="1:14" ht="13.5" customHeight="1" x14ac:dyDescent="0.35">
      <c r="E75" s="39"/>
      <c r="F75" s="29"/>
      <c r="G75" s="43"/>
      <c r="H75" s="29"/>
      <c r="I75" s="335"/>
      <c r="J75" s="317"/>
      <c r="K75" s="37"/>
      <c r="M75" s="38"/>
      <c r="N75" s="34"/>
    </row>
    <row r="76" spans="1:14" x14ac:dyDescent="0.35">
      <c r="A76" s="27" t="s">
        <v>141</v>
      </c>
      <c r="D76" s="28" t="s">
        <v>142</v>
      </c>
      <c r="E76" s="39"/>
      <c r="F76" s="29"/>
      <c r="G76" s="43"/>
      <c r="H76" s="29"/>
      <c r="I76" s="335"/>
      <c r="J76" s="317"/>
      <c r="K76" s="37"/>
      <c r="M76" s="38"/>
      <c r="N76" s="34"/>
    </row>
    <row r="77" spans="1:14" x14ac:dyDescent="0.35">
      <c r="B77" s="27" t="s">
        <v>143</v>
      </c>
      <c r="C77" s="27" t="s">
        <v>144</v>
      </c>
      <c r="D77" s="334" t="s">
        <v>145</v>
      </c>
      <c r="E77" s="323">
        <v>20.059999999999999</v>
      </c>
      <c r="F77" s="29">
        <f>$C$5*E77</f>
        <v>2.0059999999999998</v>
      </c>
      <c r="G77" s="324">
        <f>(26.76+10.94+4.85)*1.1</f>
        <v>46.805000000000007</v>
      </c>
      <c r="H77" s="29">
        <f>(0.3942+$C$5)*G77</f>
        <v>23.131031000000004</v>
      </c>
      <c r="I77" s="335">
        <f>E77+F77+G77+H77</f>
        <v>92.002031000000017</v>
      </c>
      <c r="J77" s="325">
        <f>ROUND(I77,2)</f>
        <v>92</v>
      </c>
      <c r="M77" s="38"/>
      <c r="N77" s="34"/>
    </row>
    <row r="78" spans="1:14" x14ac:dyDescent="0.35">
      <c r="B78" s="27" t="s">
        <v>146</v>
      </c>
      <c r="C78" s="27" t="s">
        <v>147</v>
      </c>
      <c r="D78" s="334" t="s">
        <v>148</v>
      </c>
      <c r="E78" s="323">
        <v>14.73</v>
      </c>
      <c r="F78" s="29">
        <f>$C$5*E78</f>
        <v>1.4730000000000001</v>
      </c>
      <c r="G78" s="39">
        <v>95</v>
      </c>
      <c r="H78" s="29">
        <f>(0.3942+$C$5)*G78</f>
        <v>46.948999999999998</v>
      </c>
      <c r="I78" s="335">
        <f>E78+F78+G78+H78</f>
        <v>158.15199999999999</v>
      </c>
      <c r="J78" s="325">
        <f>ROUND(I78,2)</f>
        <v>158.15</v>
      </c>
      <c r="M78" s="38"/>
      <c r="N78" s="34"/>
    </row>
    <row r="79" spans="1:14" x14ac:dyDescent="0.35">
      <c r="B79" s="27" t="s">
        <v>149</v>
      </c>
      <c r="F79" s="29"/>
      <c r="G79" s="324">
        <f>(26.76+10.94+4.85)*1.1</f>
        <v>46.805000000000007</v>
      </c>
      <c r="H79" s="29">
        <f>(0.3942+$C$5)*G79</f>
        <v>23.131031000000004</v>
      </c>
      <c r="I79" s="335">
        <f>E79+F79+G79+H79</f>
        <v>69.936031000000014</v>
      </c>
      <c r="J79" s="325">
        <f>ROUND(I79,2)</f>
        <v>69.94</v>
      </c>
      <c r="M79" s="38"/>
      <c r="N79" s="34"/>
    </row>
    <row r="81" spans="3:11" x14ac:dyDescent="0.35">
      <c r="F81" s="29"/>
      <c r="G81" s="39"/>
      <c r="H81" s="29"/>
      <c r="J81" s="315"/>
    </row>
    <row r="82" spans="3:11" x14ac:dyDescent="0.35">
      <c r="C82" s="27" t="s">
        <v>150</v>
      </c>
      <c r="F82" s="29"/>
      <c r="H82" s="29"/>
      <c r="J82" s="316"/>
      <c r="K82" s="37">
        <f>AVERAGEA(K19:K66)</f>
        <v>0.22460332283228351</v>
      </c>
    </row>
    <row r="83" spans="3:11" x14ac:dyDescent="0.35">
      <c r="C83" s="27" t="s">
        <v>151</v>
      </c>
      <c r="F83" s="29"/>
      <c r="H83" s="29"/>
      <c r="J83" s="315"/>
    </row>
    <row r="84" spans="3:11" x14ac:dyDescent="0.35">
      <c r="C84" s="27" t="s">
        <v>152</v>
      </c>
      <c r="F84" s="29"/>
      <c r="H84" s="29"/>
      <c r="J84" s="315"/>
    </row>
    <row r="85" spans="3:11" x14ac:dyDescent="0.35">
      <c r="C85" s="27" t="s">
        <v>1063</v>
      </c>
      <c r="F85" s="29"/>
      <c r="H85" s="29"/>
      <c r="J85" s="315"/>
    </row>
    <row r="86" spans="3:11" x14ac:dyDescent="0.35">
      <c r="C86" s="27" t="s">
        <v>153</v>
      </c>
      <c r="F86" s="29"/>
      <c r="H86" s="29"/>
      <c r="J86" s="315"/>
    </row>
    <row r="87" spans="3:11" x14ac:dyDescent="0.35">
      <c r="C87" s="27" t="s">
        <v>154</v>
      </c>
      <c r="F87" s="29"/>
      <c r="H87" s="29"/>
      <c r="J87" s="315"/>
    </row>
    <row r="88" spans="3:11" x14ac:dyDescent="0.35">
      <c r="C88" s="27" t="s">
        <v>1064</v>
      </c>
      <c r="F88" s="29"/>
      <c r="H88" s="29"/>
      <c r="J88" s="315"/>
    </row>
    <row r="89" spans="3:11" x14ac:dyDescent="0.35">
      <c r="C89" s="27" t="s">
        <v>1065</v>
      </c>
      <c r="F89" s="29"/>
      <c r="H89" s="29"/>
      <c r="J89" s="315"/>
    </row>
    <row r="90" spans="3:11" x14ac:dyDescent="0.35">
      <c r="C90" s="27" t="s">
        <v>402</v>
      </c>
      <c r="F90" s="29"/>
      <c r="H90" s="29"/>
      <c r="J90" s="315"/>
    </row>
    <row r="91" spans="3:11" x14ac:dyDescent="0.35">
      <c r="C91" s="27" t="s">
        <v>392</v>
      </c>
      <c r="F91" s="29"/>
      <c r="H91" s="29"/>
      <c r="J91" s="315"/>
    </row>
    <row r="92" spans="3:11" x14ac:dyDescent="0.35">
      <c r="C92" s="27" t="s">
        <v>155</v>
      </c>
      <c r="F92" s="29"/>
      <c r="H92" s="29"/>
      <c r="J92" s="315"/>
    </row>
    <row r="93" spans="3:11" x14ac:dyDescent="0.35">
      <c r="C93" s="27" t="s">
        <v>156</v>
      </c>
      <c r="F93" s="29"/>
      <c r="H93" s="29"/>
      <c r="J93" s="315"/>
    </row>
    <row r="94" spans="3:11" x14ac:dyDescent="0.35">
      <c r="C94" s="27" t="s">
        <v>157</v>
      </c>
      <c r="F94" s="29"/>
      <c r="H94" s="29"/>
      <c r="J94" s="315"/>
    </row>
    <row r="95" spans="3:11" x14ac:dyDescent="0.35">
      <c r="C95" s="27" t="s">
        <v>158</v>
      </c>
      <c r="F95" s="29"/>
      <c r="H95" s="29"/>
      <c r="J95" s="315"/>
    </row>
    <row r="96" spans="3:11" x14ac:dyDescent="0.35">
      <c r="C96" s="41" t="s">
        <v>676</v>
      </c>
      <c r="F96" s="29"/>
      <c r="H96" s="29"/>
      <c r="J96" s="315"/>
    </row>
    <row r="97" spans="3:3" x14ac:dyDescent="0.35">
      <c r="C97" s="27" t="s">
        <v>700</v>
      </c>
    </row>
  </sheetData>
  <printOptions horizontalCentered="1" verticalCentered="1"/>
  <pageMargins left="0.5" right="0.5" top="0.25" bottom="0.16700000000000001" header="0.5" footer="0.5"/>
  <pageSetup scale="53"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499984740745262"/>
  </sheetPr>
  <dimension ref="A1:R489"/>
  <sheetViews>
    <sheetView zoomScale="70" zoomScaleNormal="70" workbookViewId="0">
      <selection activeCell="M57" sqref="M57"/>
    </sheetView>
  </sheetViews>
  <sheetFormatPr defaultRowHeight="14.5" x14ac:dyDescent="0.35"/>
  <cols>
    <col min="1" max="1" width="13.81640625" customWidth="1"/>
    <col min="2" max="2" width="47.1796875" customWidth="1"/>
    <col min="3" max="3" width="23.1796875" customWidth="1"/>
    <col min="4" max="4" width="22.1796875" customWidth="1"/>
    <col min="5" max="5" width="22.54296875" customWidth="1"/>
    <col min="6" max="6" width="23.453125" customWidth="1"/>
    <col min="7" max="7" width="22.453125" customWidth="1"/>
    <col min="8" max="9" width="22.453125" bestFit="1" customWidth="1"/>
    <col min="10" max="10" width="18.81640625" bestFit="1" customWidth="1"/>
    <col min="11" max="12" width="23.54296875" bestFit="1" customWidth="1"/>
    <col min="13" max="13" width="23.54296875" customWidth="1"/>
    <col min="14" max="14" width="11.453125" customWidth="1"/>
    <col min="15" max="15" width="44.26953125" bestFit="1" customWidth="1"/>
    <col min="16" max="16" width="12.1796875" customWidth="1"/>
    <col min="18" max="18" width="13" customWidth="1"/>
  </cols>
  <sheetData>
    <row r="1" spans="1:7" x14ac:dyDescent="0.35">
      <c r="A1" s="307" t="s">
        <v>0</v>
      </c>
    </row>
    <row r="2" spans="1:7" x14ac:dyDescent="0.35">
      <c r="A2" s="308" t="s">
        <v>1</v>
      </c>
    </row>
    <row r="3" spans="1:7" x14ac:dyDescent="0.35">
      <c r="A3" s="308" t="s">
        <v>971</v>
      </c>
    </row>
    <row r="4" spans="1:7" x14ac:dyDescent="0.35">
      <c r="A4" s="309" t="s">
        <v>1546</v>
      </c>
    </row>
    <row r="5" spans="1:7" ht="15" thickBot="1" x14ac:dyDescent="0.4">
      <c r="A5" s="313"/>
    </row>
    <row r="6" spans="1:7" x14ac:dyDescent="0.35">
      <c r="A6" s="341" t="s">
        <v>1192</v>
      </c>
      <c r="B6" s="8"/>
      <c r="C6" s="8"/>
      <c r="D6" s="8"/>
      <c r="E6" s="8"/>
      <c r="F6" s="17"/>
    </row>
    <row r="7" spans="1:7" x14ac:dyDescent="0.35">
      <c r="A7" s="276"/>
      <c r="F7" s="18"/>
    </row>
    <row r="8" spans="1:7" x14ac:dyDescent="0.35">
      <c r="A8" s="11" t="s">
        <v>279</v>
      </c>
      <c r="C8" s="2" t="s">
        <v>517</v>
      </c>
      <c r="D8" s="2" t="s">
        <v>518</v>
      </c>
      <c r="E8" s="2" t="s">
        <v>639</v>
      </c>
      <c r="F8" s="18"/>
    </row>
    <row r="9" spans="1:7" x14ac:dyDescent="0.35">
      <c r="A9" s="11"/>
      <c r="C9" s="2" t="s">
        <v>1104</v>
      </c>
      <c r="D9" s="2" t="s">
        <v>1105</v>
      </c>
      <c r="E9" s="2" t="s">
        <v>4</v>
      </c>
      <c r="F9" s="18"/>
    </row>
    <row r="10" spans="1:7" x14ac:dyDescent="0.35">
      <c r="A10" s="11"/>
      <c r="B10" t="s">
        <v>1106</v>
      </c>
      <c r="C10" s="109">
        <f>D167</f>
        <v>1337291.3423808813</v>
      </c>
      <c r="D10" s="109">
        <f>E167</f>
        <v>24099.292168674692</v>
      </c>
      <c r="E10" s="109">
        <f>F167</f>
        <v>137098.19544846046</v>
      </c>
      <c r="F10" s="18"/>
      <c r="G10" s="26"/>
    </row>
    <row r="11" spans="1:7" x14ac:dyDescent="0.35">
      <c r="A11" s="11"/>
      <c r="B11" t="s">
        <v>302</v>
      </c>
      <c r="C11" s="396" t="s">
        <v>698</v>
      </c>
      <c r="D11" s="396" t="s">
        <v>1544</v>
      </c>
      <c r="E11" s="2" t="s">
        <v>698</v>
      </c>
      <c r="F11" s="18"/>
      <c r="G11" s="26"/>
    </row>
    <row r="12" spans="1:7" x14ac:dyDescent="0.35">
      <c r="A12" s="11"/>
      <c r="B12" t="s">
        <v>293</v>
      </c>
      <c r="C12" s="109">
        <f>C209</f>
        <v>26537.126965740688</v>
      </c>
      <c r="D12" s="109">
        <f>D209</f>
        <v>5679.2703875482493</v>
      </c>
      <c r="E12" s="109">
        <f>E209</f>
        <v>68741.559662786502</v>
      </c>
      <c r="F12" s="18"/>
      <c r="G12" s="26"/>
    </row>
    <row r="13" spans="1:7" x14ac:dyDescent="0.35">
      <c r="A13" s="11"/>
      <c r="B13" t="s">
        <v>159</v>
      </c>
      <c r="C13" s="109">
        <f>C234</f>
        <v>74587.79250000001</v>
      </c>
      <c r="D13" s="109">
        <f>D234</f>
        <v>63112.747499999998</v>
      </c>
      <c r="E13" s="603" t="s">
        <v>698</v>
      </c>
      <c r="F13" s="18"/>
      <c r="G13" s="45"/>
    </row>
    <row r="14" spans="1:7" x14ac:dyDescent="0.35">
      <c r="A14" s="11"/>
      <c r="B14" t="s">
        <v>1150</v>
      </c>
      <c r="C14" s="109">
        <f>C409</f>
        <v>2612664.5910423817</v>
      </c>
      <c r="D14" s="109">
        <f>D409</f>
        <v>261176.38545678899</v>
      </c>
      <c r="E14" s="109">
        <f>E409</f>
        <v>6511555.8068441227</v>
      </c>
      <c r="F14" s="18"/>
      <c r="G14" s="26"/>
    </row>
    <row r="15" spans="1:7" x14ac:dyDescent="0.35">
      <c r="A15" s="11"/>
      <c r="B15" t="s">
        <v>277</v>
      </c>
      <c r="C15" s="109">
        <f>C469</f>
        <v>520332.71189672424</v>
      </c>
      <c r="D15" s="109">
        <f>D469</f>
        <v>45594.800019781047</v>
      </c>
      <c r="E15" s="109">
        <f>E469</f>
        <v>755148.23945435428</v>
      </c>
      <c r="F15" s="18"/>
      <c r="G15" s="442"/>
    </row>
    <row r="16" spans="1:7" x14ac:dyDescent="0.35">
      <c r="A16" s="11"/>
      <c r="B16" s="20" t="s">
        <v>274</v>
      </c>
      <c r="C16" s="108">
        <f>C484</f>
        <v>177062.85</v>
      </c>
      <c r="D16" s="108">
        <f>D484</f>
        <v>15261.3</v>
      </c>
      <c r="E16" s="108">
        <f>E484</f>
        <v>240864.90000000002</v>
      </c>
      <c r="F16" s="18"/>
    </row>
    <row r="17" spans="1:16" x14ac:dyDescent="0.35">
      <c r="A17" s="11"/>
      <c r="B17" s="25" t="s">
        <v>83</v>
      </c>
      <c r="C17" s="109">
        <f>SUM(C10:C16)</f>
        <v>4748476.4147857279</v>
      </c>
      <c r="D17" s="109">
        <f>SUM(D10:D16)</f>
        <v>414923.79553279298</v>
      </c>
      <c r="E17" s="109">
        <f>SUM(E10:E16)</f>
        <v>7713408.7014097245</v>
      </c>
      <c r="F17" s="288"/>
    </row>
    <row r="18" spans="1:16" x14ac:dyDescent="0.35">
      <c r="A18" s="11"/>
      <c r="F18" s="18"/>
    </row>
    <row r="19" spans="1:16" x14ac:dyDescent="0.35">
      <c r="A19" s="11"/>
      <c r="B19" s="5" t="s">
        <v>1219</v>
      </c>
      <c r="D19" s="5"/>
      <c r="E19" s="342">
        <f>E17+D17+C17</f>
        <v>12876808.911728244</v>
      </c>
      <c r="F19" s="18"/>
      <c r="G19" s="50"/>
      <c r="H19" s="50"/>
      <c r="I19" s="50"/>
    </row>
    <row r="20" spans="1:16" ht="15" thickBot="1" x14ac:dyDescent="0.4">
      <c r="A20" s="13"/>
      <c r="B20" s="409" t="s">
        <v>1193</v>
      </c>
      <c r="C20" s="14"/>
      <c r="D20" s="14"/>
      <c r="E20" s="418">
        <f>426*500</f>
        <v>213000</v>
      </c>
      <c r="F20" s="19"/>
    </row>
    <row r="21" spans="1:16" x14ac:dyDescent="0.35">
      <c r="A21" s="313"/>
    </row>
    <row r="22" spans="1:16" x14ac:dyDescent="0.35">
      <c r="A22" s="313"/>
    </row>
    <row r="23" spans="1:16" x14ac:dyDescent="0.35">
      <c r="A23" s="313"/>
      <c r="B23" s="48" t="s">
        <v>1022</v>
      </c>
      <c r="C23" s="60"/>
      <c r="D23" s="60"/>
      <c r="E23" s="60"/>
      <c r="F23" s="149"/>
      <c r="G23" s="60"/>
    </row>
    <row r="24" spans="1:16" ht="15" thickBot="1" x14ac:dyDescent="0.4">
      <c r="A24" s="313"/>
      <c r="B24" s="419" t="s">
        <v>995</v>
      </c>
      <c r="C24" s="420" t="s">
        <v>1196</v>
      </c>
      <c r="D24" s="420" t="s">
        <v>1216</v>
      </c>
      <c r="E24" s="420" t="s">
        <v>1217</v>
      </c>
      <c r="F24" s="420" t="s">
        <v>1197</v>
      </c>
      <c r="G24" s="420" t="s">
        <v>992</v>
      </c>
      <c r="O24" s="60"/>
      <c r="P24" s="227"/>
    </row>
    <row r="25" spans="1:16" x14ac:dyDescent="0.35">
      <c r="A25" s="313"/>
      <c r="B25" s="421" t="s">
        <v>1087</v>
      </c>
      <c r="C25" s="422">
        <v>26.626057999458883</v>
      </c>
      <c r="D25" s="422"/>
      <c r="E25" s="422"/>
      <c r="F25" s="422">
        <v>15.460397135785417</v>
      </c>
      <c r="G25" s="423">
        <v>42.0864551352443</v>
      </c>
      <c r="O25" s="60"/>
      <c r="P25" s="227"/>
    </row>
    <row r="26" spans="1:16" x14ac:dyDescent="0.35">
      <c r="A26" s="313"/>
      <c r="B26" s="424" t="s">
        <v>1100</v>
      </c>
      <c r="C26" s="351">
        <v>5.381929764421856</v>
      </c>
      <c r="D26" s="351"/>
      <c r="E26" s="351"/>
      <c r="F26" s="351">
        <v>2.0280452358756156</v>
      </c>
      <c r="G26" s="425">
        <v>7.4099750002974716</v>
      </c>
    </row>
    <row r="27" spans="1:16" x14ac:dyDescent="0.35">
      <c r="A27" s="313"/>
      <c r="B27" s="424" t="s">
        <v>1088</v>
      </c>
      <c r="C27" s="351">
        <v>68.437958751470731</v>
      </c>
      <c r="D27" s="351"/>
      <c r="E27" s="351"/>
      <c r="F27" s="351">
        <v>107.7192706778882</v>
      </c>
      <c r="G27" s="425">
        <v>176.15722942935895</v>
      </c>
    </row>
    <row r="28" spans="1:16" x14ac:dyDescent="0.35">
      <c r="A28" s="313"/>
      <c r="B28" s="424" t="s">
        <v>1089</v>
      </c>
      <c r="C28" s="351"/>
      <c r="D28" s="351"/>
      <c r="E28" s="351"/>
      <c r="F28" s="351">
        <v>28.007319912492264</v>
      </c>
      <c r="G28" s="425">
        <v>28.007319912492264</v>
      </c>
    </row>
    <row r="29" spans="1:16" x14ac:dyDescent="0.35">
      <c r="A29" s="313"/>
      <c r="B29" s="424" t="s">
        <v>1090</v>
      </c>
      <c r="C29" s="351"/>
      <c r="D29" s="351"/>
      <c r="E29" s="351"/>
      <c r="F29" s="351">
        <v>4.6483608749575263</v>
      </c>
      <c r="G29" s="425">
        <v>4.6483608749575263</v>
      </c>
    </row>
    <row r="30" spans="1:16" x14ac:dyDescent="0.35">
      <c r="A30" s="313"/>
      <c r="B30" s="424" t="s">
        <v>1101</v>
      </c>
      <c r="C30" s="351">
        <v>2.9989760990129124</v>
      </c>
      <c r="D30" s="351"/>
      <c r="E30" s="351"/>
      <c r="F30" s="351">
        <v>3.5744139377020359</v>
      </c>
      <c r="G30" s="425">
        <v>6.5733900367149483</v>
      </c>
    </row>
    <row r="31" spans="1:16" ht="15" thickBot="1" x14ac:dyDescent="0.4">
      <c r="A31" s="313"/>
      <c r="B31" s="426" t="s">
        <v>1091</v>
      </c>
      <c r="C31" s="427">
        <v>17.274148203763804</v>
      </c>
      <c r="D31" s="427"/>
      <c r="E31" s="427"/>
      <c r="F31" s="427">
        <v>17.942208804617561</v>
      </c>
      <c r="G31" s="428">
        <v>35.216357008381365</v>
      </c>
    </row>
    <row r="32" spans="1:16" x14ac:dyDescent="0.35">
      <c r="A32" s="313"/>
      <c r="B32" s="421" t="s">
        <v>1082</v>
      </c>
      <c r="C32" s="422">
        <v>5.6983027186284687</v>
      </c>
      <c r="D32" s="422"/>
      <c r="E32" s="422"/>
      <c r="F32" s="422">
        <v>48.980887423248262</v>
      </c>
      <c r="G32" s="423">
        <v>54.679190141876731</v>
      </c>
    </row>
    <row r="33" spans="1:16" x14ac:dyDescent="0.35">
      <c r="A33" s="313"/>
      <c r="B33" s="424" t="s">
        <v>1099</v>
      </c>
      <c r="C33" s="351">
        <v>0.61557952762189783</v>
      </c>
      <c r="D33" s="351"/>
      <c r="E33" s="351"/>
      <c r="F33" s="351">
        <v>4.9498684141170042</v>
      </c>
      <c r="G33" s="425">
        <v>5.5654479417389018</v>
      </c>
    </row>
    <row r="34" spans="1:16" x14ac:dyDescent="0.35">
      <c r="A34" s="313"/>
      <c r="B34" s="424" t="s">
        <v>1083</v>
      </c>
      <c r="C34" s="351">
        <v>1.7365309721661581</v>
      </c>
      <c r="D34" s="351"/>
      <c r="E34" s="351"/>
      <c r="F34" s="351">
        <v>104.41647141056301</v>
      </c>
      <c r="G34" s="425">
        <v>106.15300238272917</v>
      </c>
    </row>
    <row r="35" spans="1:16" x14ac:dyDescent="0.35">
      <c r="A35" s="313"/>
      <c r="B35" s="424" t="s">
        <v>1084</v>
      </c>
      <c r="C35" s="351"/>
      <c r="D35" s="351"/>
      <c r="E35" s="351"/>
      <c r="F35" s="351">
        <v>41.966586799865325</v>
      </c>
      <c r="G35" s="425">
        <v>41.966586799865325</v>
      </c>
      <c r="O35" s="60"/>
      <c r="P35" s="227"/>
    </row>
    <row r="36" spans="1:16" x14ac:dyDescent="0.35">
      <c r="A36" s="313"/>
      <c r="B36" s="424" t="s">
        <v>1085</v>
      </c>
      <c r="C36" s="351"/>
      <c r="D36" s="351"/>
      <c r="E36" s="351"/>
      <c r="F36" s="351">
        <v>9.3814150566480432</v>
      </c>
      <c r="G36" s="425">
        <v>9.3814150566480432</v>
      </c>
      <c r="H36" s="314"/>
    </row>
    <row r="37" spans="1:16" ht="15" thickBot="1" x14ac:dyDescent="0.4">
      <c r="A37" s="313"/>
      <c r="B37" s="426" t="s">
        <v>1086</v>
      </c>
      <c r="C37" s="427">
        <v>2.6159396358986844</v>
      </c>
      <c r="D37" s="427"/>
      <c r="E37" s="427"/>
      <c r="F37" s="427">
        <v>23.859924140765283</v>
      </c>
      <c r="G37" s="428">
        <v>26.475863776663967</v>
      </c>
      <c r="H37" s="314"/>
      <c r="O37" s="60"/>
      <c r="P37" s="227"/>
    </row>
    <row r="38" spans="1:16" x14ac:dyDescent="0.35">
      <c r="A38" s="313"/>
      <c r="B38" s="421" t="s">
        <v>1092</v>
      </c>
      <c r="C38" s="422">
        <v>68.971925895276726</v>
      </c>
      <c r="D38" s="422"/>
      <c r="E38" s="422"/>
      <c r="F38" s="422">
        <v>6.2953708903346488</v>
      </c>
      <c r="G38" s="423">
        <v>75.267296785611379</v>
      </c>
      <c r="H38" s="314"/>
      <c r="O38" s="60"/>
      <c r="P38" s="227"/>
    </row>
    <row r="39" spans="1:16" x14ac:dyDescent="0.35">
      <c r="A39" s="313"/>
      <c r="B39" s="424" t="s">
        <v>1102</v>
      </c>
      <c r="C39" s="351">
        <v>7.7409159520992885</v>
      </c>
      <c r="D39" s="351"/>
      <c r="E39" s="351"/>
      <c r="F39" s="351">
        <v>0.63297628116472082</v>
      </c>
      <c r="G39" s="425">
        <v>8.3738922332640087</v>
      </c>
      <c r="H39" s="314"/>
    </row>
    <row r="40" spans="1:16" x14ac:dyDescent="0.35">
      <c r="A40" s="313"/>
      <c r="B40" s="424" t="s">
        <v>1093</v>
      </c>
      <c r="C40" s="351">
        <v>6.2516875786832156</v>
      </c>
      <c r="D40" s="351"/>
      <c r="E40" s="351"/>
      <c r="F40" s="351">
        <v>0.98147098586087622</v>
      </c>
      <c r="G40" s="425">
        <v>7.2331585645440919</v>
      </c>
      <c r="H40" s="314"/>
    </row>
    <row r="41" spans="1:16" x14ac:dyDescent="0.35">
      <c r="A41" s="313"/>
      <c r="B41" s="424" t="s">
        <v>1094</v>
      </c>
      <c r="C41" s="351">
        <v>2.6484601958251504</v>
      </c>
      <c r="D41" s="351"/>
      <c r="E41" s="351"/>
      <c r="F41" s="351">
        <v>1.6169595554781685E-4</v>
      </c>
      <c r="G41" s="425">
        <v>2.6486218917806981</v>
      </c>
      <c r="H41" s="314"/>
    </row>
    <row r="42" spans="1:16" s="5" customFormat="1" x14ac:dyDescent="0.35">
      <c r="A42" s="313"/>
      <c r="B42" s="424" t="s">
        <v>1095</v>
      </c>
      <c r="C42" s="351">
        <v>22.033277312948766</v>
      </c>
      <c r="D42" s="351"/>
      <c r="E42" s="351"/>
      <c r="F42" s="351"/>
      <c r="G42" s="425">
        <v>22.033277312948766</v>
      </c>
      <c r="H42" s="343"/>
    </row>
    <row r="43" spans="1:16" s="5" customFormat="1" ht="15" thickBot="1" x14ac:dyDescent="0.4">
      <c r="A43" s="313"/>
      <c r="B43" s="426" t="s">
        <v>1096</v>
      </c>
      <c r="C43" s="427">
        <v>55.160483212277619</v>
      </c>
      <c r="D43" s="427"/>
      <c r="E43" s="427"/>
      <c r="F43" s="427">
        <v>5.0766548779740415</v>
      </c>
      <c r="G43" s="428">
        <v>60.237138090251662</v>
      </c>
      <c r="H43" s="343"/>
    </row>
    <row r="44" spans="1:16" x14ac:dyDescent="0.35">
      <c r="B44" s="224" t="s">
        <v>1108</v>
      </c>
      <c r="C44" s="227">
        <f>SUM(C25:C43)</f>
        <v>294.19217381955417</v>
      </c>
      <c r="D44" s="227"/>
      <c r="E44" s="227"/>
      <c r="F44" s="128">
        <f>SUM(F25:F43)</f>
        <v>425.92180455581536</v>
      </c>
      <c r="G44" s="227">
        <f>SUM(G25:G43)</f>
        <v>720.11397837536947</v>
      </c>
    </row>
    <row r="45" spans="1:16" x14ac:dyDescent="0.35">
      <c r="A45" s="313"/>
      <c r="B45" s="224" t="s">
        <v>1109</v>
      </c>
      <c r="C45" s="128"/>
      <c r="D45" s="128"/>
      <c r="E45" s="128"/>
      <c r="F45" s="432">
        <f>426*500</f>
        <v>213000</v>
      </c>
      <c r="G45" s="128"/>
    </row>
    <row r="46" spans="1:16" x14ac:dyDescent="0.35">
      <c r="B46" s="224" t="s">
        <v>1110</v>
      </c>
      <c r="C46" s="227">
        <f>C44</f>
        <v>294.19217381955417</v>
      </c>
      <c r="D46" s="60"/>
      <c r="E46" s="60"/>
      <c r="F46" s="60"/>
      <c r="G46" s="60"/>
    </row>
    <row r="48" spans="1:16" ht="18.5" x14ac:dyDescent="0.45">
      <c r="A48" s="126" t="s">
        <v>22</v>
      </c>
      <c r="B48" s="125"/>
    </row>
    <row r="49" spans="1:2" ht="18.5" x14ac:dyDescent="0.45">
      <c r="A49" s="126" t="s">
        <v>23</v>
      </c>
      <c r="B49" s="125"/>
    </row>
    <row r="50" spans="1:2" ht="18.5" x14ac:dyDescent="0.45">
      <c r="A50" s="126" t="s">
        <v>24</v>
      </c>
      <c r="B50" s="125"/>
    </row>
    <row r="53" spans="1:2" x14ac:dyDescent="0.35">
      <c r="A53" s="44" t="s">
        <v>1123</v>
      </c>
      <c r="B53" s="44"/>
    </row>
    <row r="54" spans="1:2" x14ac:dyDescent="0.35">
      <c r="A54" t="s">
        <v>27</v>
      </c>
    </row>
    <row r="55" spans="1:2" x14ac:dyDescent="0.35">
      <c r="A55" t="s">
        <v>1238</v>
      </c>
    </row>
    <row r="56" spans="1:2" x14ac:dyDescent="0.35">
      <c r="A56" t="s">
        <v>1237</v>
      </c>
    </row>
    <row r="57" spans="1:2" x14ac:dyDescent="0.35">
      <c r="A57" t="s">
        <v>1174</v>
      </c>
    </row>
    <row r="59" spans="1:2" x14ac:dyDescent="0.35">
      <c r="A59" t="s">
        <v>1505</v>
      </c>
    </row>
    <row r="60" spans="1:2" x14ac:dyDescent="0.35">
      <c r="A60" t="s">
        <v>1506</v>
      </c>
    </row>
    <row r="61" spans="1:2" x14ac:dyDescent="0.35">
      <c r="A61" t="s">
        <v>1118</v>
      </c>
    </row>
    <row r="63" spans="1:2" x14ac:dyDescent="0.35">
      <c r="A63" t="s">
        <v>1107</v>
      </c>
    </row>
    <row r="64" spans="1:2" x14ac:dyDescent="0.35">
      <c r="A64" t="s">
        <v>28</v>
      </c>
    </row>
    <row r="65" spans="1:8" x14ac:dyDescent="0.35">
      <c r="A65" t="s">
        <v>29</v>
      </c>
    </row>
    <row r="66" spans="1:8" x14ac:dyDescent="0.35">
      <c r="A66" t="s">
        <v>1119</v>
      </c>
    </row>
    <row r="67" spans="1:8" ht="17.25" customHeight="1" x14ac:dyDescent="0.35">
      <c r="A67" t="s">
        <v>1120</v>
      </c>
    </row>
    <row r="68" spans="1:8" x14ac:dyDescent="0.35">
      <c r="A68" t="s">
        <v>1116</v>
      </c>
    </row>
    <row r="70" spans="1:8" x14ac:dyDescent="0.35">
      <c r="A70" t="s">
        <v>299</v>
      </c>
    </row>
    <row r="71" spans="1:8" x14ac:dyDescent="0.35">
      <c r="A71" t="s">
        <v>297</v>
      </c>
    </row>
    <row r="72" spans="1:8" x14ac:dyDescent="0.35">
      <c r="A72" t="s">
        <v>298</v>
      </c>
    </row>
    <row r="74" spans="1:8" x14ac:dyDescent="0.35">
      <c r="A74" t="s">
        <v>1241</v>
      </c>
      <c r="F74" s="5"/>
    </row>
    <row r="75" spans="1:8" x14ac:dyDescent="0.35">
      <c r="A75" s="5" t="s">
        <v>1503</v>
      </c>
      <c r="F75" s="5"/>
    </row>
    <row r="76" spans="1:8" x14ac:dyDescent="0.35">
      <c r="A76" s="5" t="s">
        <v>1507</v>
      </c>
      <c r="F76" s="5"/>
    </row>
    <row r="78" spans="1:8" x14ac:dyDescent="0.35">
      <c r="A78" s="48" t="s">
        <v>1543</v>
      </c>
      <c r="B78" s="60"/>
      <c r="C78" s="60"/>
      <c r="D78" s="60"/>
      <c r="E78" s="60"/>
      <c r="F78" s="60"/>
      <c r="G78" s="60"/>
      <c r="H78" s="60"/>
    </row>
    <row r="79" spans="1:8" x14ac:dyDescent="0.35">
      <c r="A79" s="60"/>
      <c r="B79" s="60"/>
      <c r="C79" s="60"/>
      <c r="D79" s="60"/>
      <c r="E79" s="60"/>
      <c r="F79" s="60"/>
      <c r="G79" s="60"/>
      <c r="H79" s="60"/>
    </row>
    <row r="80" spans="1:8" x14ac:dyDescent="0.35">
      <c r="A80" s="60"/>
      <c r="B80" s="60"/>
      <c r="C80" s="498" t="s">
        <v>1504</v>
      </c>
      <c r="D80" s="498" t="s">
        <v>1105</v>
      </c>
      <c r="E80" s="498" t="s">
        <v>4</v>
      </c>
      <c r="F80" s="60"/>
      <c r="G80" s="60"/>
      <c r="H80" s="60"/>
    </row>
    <row r="81" spans="1:8" x14ac:dyDescent="0.35">
      <c r="A81" s="60"/>
      <c r="B81" s="224" t="s">
        <v>1511</v>
      </c>
      <c r="C81" s="404">
        <v>68.400000000000006</v>
      </c>
      <c r="D81" s="404">
        <v>1.7</v>
      </c>
      <c r="E81" s="404" t="s">
        <v>1532</v>
      </c>
      <c r="F81" s="60" t="s">
        <v>1516</v>
      </c>
      <c r="G81" s="60"/>
      <c r="H81" s="60"/>
    </row>
    <row r="82" spans="1:8" x14ac:dyDescent="0.35">
      <c r="A82" s="60"/>
      <c r="B82" s="224" t="s">
        <v>1512</v>
      </c>
      <c r="C82" s="404">
        <v>17.3</v>
      </c>
      <c r="D82" s="404">
        <v>2.6</v>
      </c>
      <c r="E82" s="404">
        <v>55.2</v>
      </c>
      <c r="F82" s="60"/>
      <c r="G82" s="60"/>
      <c r="H82" s="60"/>
    </row>
    <row r="83" spans="1:8" x14ac:dyDescent="0.35">
      <c r="A83" s="60"/>
      <c r="B83" s="224"/>
      <c r="C83" s="60"/>
      <c r="D83" s="60"/>
      <c r="E83" s="60"/>
      <c r="F83" s="60"/>
      <c r="G83" s="60"/>
      <c r="H83" s="60"/>
    </row>
    <row r="84" spans="1:8" x14ac:dyDescent="0.35">
      <c r="A84" s="606" t="s">
        <v>1513</v>
      </c>
      <c r="B84" s="60"/>
      <c r="C84" s="60"/>
      <c r="D84" s="60"/>
      <c r="E84" s="60"/>
      <c r="F84" s="60"/>
      <c r="G84" s="60"/>
      <c r="H84" s="60"/>
    </row>
    <row r="85" spans="1:8" x14ac:dyDescent="0.35">
      <c r="A85" s="60"/>
      <c r="B85" s="224" t="s">
        <v>1534</v>
      </c>
      <c r="C85" s="404">
        <v>6500</v>
      </c>
      <c r="D85" s="404">
        <v>5500</v>
      </c>
      <c r="E85" s="404">
        <v>6800</v>
      </c>
      <c r="F85" s="60"/>
      <c r="G85" s="60"/>
      <c r="H85" s="60"/>
    </row>
    <row r="86" spans="1:8" x14ac:dyDescent="0.35">
      <c r="A86" s="60"/>
      <c r="B86" s="224" t="s">
        <v>1535</v>
      </c>
      <c r="C86" s="149"/>
      <c r="D86" s="149"/>
      <c r="E86" s="149"/>
      <c r="F86" s="60"/>
      <c r="G86" s="60"/>
      <c r="H86" s="60"/>
    </row>
    <row r="87" spans="1:8" x14ac:dyDescent="0.35">
      <c r="A87" s="60"/>
      <c r="B87" s="224" t="s">
        <v>1510</v>
      </c>
      <c r="C87" s="434">
        <v>4800</v>
      </c>
      <c r="D87" s="434">
        <v>500</v>
      </c>
      <c r="E87" s="434" t="s">
        <v>1533</v>
      </c>
      <c r="F87" s="60" t="s">
        <v>1516</v>
      </c>
      <c r="G87" s="60"/>
      <c r="H87" s="60"/>
    </row>
    <row r="88" spans="1:8" x14ac:dyDescent="0.35">
      <c r="A88" s="60"/>
      <c r="B88" s="224" t="s">
        <v>1509</v>
      </c>
      <c r="C88" s="434">
        <v>4000</v>
      </c>
      <c r="D88" s="434">
        <v>1000</v>
      </c>
      <c r="E88" s="434">
        <v>6400</v>
      </c>
      <c r="F88" s="60"/>
      <c r="G88" s="60"/>
      <c r="H88" s="60"/>
    </row>
    <row r="89" spans="1:8" x14ac:dyDescent="0.35">
      <c r="A89" s="60"/>
      <c r="B89" s="60"/>
      <c r="C89" s="60"/>
      <c r="D89" s="60"/>
      <c r="E89" s="60"/>
      <c r="F89" s="60"/>
      <c r="G89" s="60"/>
      <c r="H89" s="60"/>
    </row>
    <row r="90" spans="1:8" x14ac:dyDescent="0.35">
      <c r="A90" s="60"/>
      <c r="B90" s="60"/>
      <c r="C90" s="60"/>
      <c r="D90" s="60"/>
      <c r="E90" s="60"/>
      <c r="F90" s="60"/>
      <c r="G90" s="60"/>
      <c r="H90" s="60"/>
    </row>
    <row r="91" spans="1:8" x14ac:dyDescent="0.35">
      <c r="A91" s="606" t="s">
        <v>1514</v>
      </c>
      <c r="B91" s="60"/>
      <c r="C91" s="498" t="s">
        <v>1504</v>
      </c>
      <c r="D91" s="498" t="s">
        <v>1105</v>
      </c>
      <c r="E91" s="498" t="s">
        <v>4</v>
      </c>
      <c r="F91" s="60"/>
      <c r="G91" s="60"/>
      <c r="H91" s="60"/>
    </row>
    <row r="92" spans="1:8" x14ac:dyDescent="0.35">
      <c r="A92" s="60"/>
      <c r="B92" s="224" t="s">
        <v>1545</v>
      </c>
      <c r="C92" s="434">
        <v>50</v>
      </c>
      <c r="D92" s="434">
        <v>50</v>
      </c>
      <c r="E92" s="434">
        <v>50</v>
      </c>
      <c r="F92" s="60"/>
      <c r="G92" s="60"/>
      <c r="H92" s="60"/>
    </row>
    <row r="93" spans="1:8" x14ac:dyDescent="0.35">
      <c r="A93" s="60"/>
      <c r="B93" s="224" t="s">
        <v>1510</v>
      </c>
      <c r="C93" s="404" t="s">
        <v>1531</v>
      </c>
      <c r="D93" s="404" t="s">
        <v>1531</v>
      </c>
      <c r="E93" s="404" t="s">
        <v>668</v>
      </c>
      <c r="F93" s="60" t="s">
        <v>1516</v>
      </c>
      <c r="G93" s="60"/>
      <c r="H93" s="60"/>
    </row>
    <row r="94" spans="1:8" x14ac:dyDescent="0.35">
      <c r="A94" s="60"/>
      <c r="B94" s="60"/>
      <c r="C94" s="521"/>
      <c r="D94" s="60"/>
      <c r="E94" s="60"/>
      <c r="F94" s="60"/>
      <c r="G94" s="521"/>
      <c r="H94" s="60"/>
    </row>
    <row r="95" spans="1:8" x14ac:dyDescent="0.35">
      <c r="A95" s="60"/>
      <c r="B95" s="48" t="s">
        <v>1540</v>
      </c>
      <c r="C95" s="60"/>
      <c r="D95" s="60"/>
      <c r="E95" s="60"/>
      <c r="F95" s="48"/>
      <c r="G95" s="60"/>
      <c r="H95" s="60"/>
    </row>
    <row r="96" spans="1:8" x14ac:dyDescent="0.35">
      <c r="A96" s="60"/>
      <c r="B96" s="48"/>
      <c r="C96" s="636" t="s">
        <v>1504</v>
      </c>
      <c r="D96" s="637"/>
      <c r="E96" s="60"/>
      <c r="F96" s="60"/>
      <c r="G96" s="636" t="s">
        <v>1105</v>
      </c>
      <c r="H96" s="637"/>
    </row>
    <row r="97" spans="1:8" x14ac:dyDescent="0.35">
      <c r="A97" s="60"/>
      <c r="B97" s="48"/>
      <c r="C97" s="264" t="s">
        <v>1541</v>
      </c>
      <c r="D97" s="498"/>
      <c r="E97" s="60"/>
      <c r="F97" s="60"/>
      <c r="G97" s="264" t="s">
        <v>1541</v>
      </c>
      <c r="H97" s="498"/>
    </row>
    <row r="98" spans="1:8" x14ac:dyDescent="0.35">
      <c r="A98" s="60"/>
      <c r="B98" s="60"/>
      <c r="C98" s="198" t="s">
        <v>1548</v>
      </c>
      <c r="D98" s="498"/>
      <c r="E98" s="605"/>
      <c r="F98" s="521"/>
      <c r="G98" s="198" t="s">
        <v>1548</v>
      </c>
      <c r="H98" s="498"/>
    </row>
    <row r="99" spans="1:8" x14ac:dyDescent="0.35">
      <c r="A99" s="60"/>
      <c r="B99" s="521"/>
      <c r="C99" s="149" t="s">
        <v>1515</v>
      </c>
      <c r="D99" s="149" t="s">
        <v>1530</v>
      </c>
      <c r="E99" s="149"/>
      <c r="F99" s="521"/>
      <c r="G99" s="149" t="s">
        <v>1515</v>
      </c>
      <c r="H99" s="149" t="s">
        <v>1530</v>
      </c>
    </row>
    <row r="100" spans="1:8" x14ac:dyDescent="0.35">
      <c r="A100" s="60"/>
      <c r="B100" s="224" t="s">
        <v>1517</v>
      </c>
      <c r="C100" s="149" t="s">
        <v>1529</v>
      </c>
      <c r="D100" s="149">
        <v>0</v>
      </c>
      <c r="E100" s="60"/>
      <c r="F100" s="224" t="s">
        <v>1536</v>
      </c>
      <c r="G100" s="149" t="s">
        <v>291</v>
      </c>
      <c r="H100" s="149">
        <f>6450-6275</f>
        <v>175</v>
      </c>
    </row>
    <row r="101" spans="1:8" x14ac:dyDescent="0.35">
      <c r="A101" s="60"/>
      <c r="B101" s="224" t="s">
        <v>1517</v>
      </c>
      <c r="C101" s="149" t="s">
        <v>1528</v>
      </c>
      <c r="D101" s="149">
        <f>6450-6100</f>
        <v>350</v>
      </c>
      <c r="E101" s="60"/>
      <c r="F101" s="60"/>
      <c r="G101" s="149" t="s">
        <v>290</v>
      </c>
      <c r="H101" s="149">
        <f>6450-6275</f>
        <v>175</v>
      </c>
    </row>
    <row r="102" spans="1:8" x14ac:dyDescent="0.35">
      <c r="A102" s="60"/>
      <c r="B102" s="224" t="s">
        <v>1517</v>
      </c>
      <c r="C102" s="149" t="s">
        <v>1527</v>
      </c>
      <c r="D102" s="149">
        <f>6450-6100</f>
        <v>350</v>
      </c>
      <c r="E102" s="60"/>
      <c r="F102" s="224" t="s">
        <v>1517</v>
      </c>
      <c r="G102" s="149" t="s">
        <v>289</v>
      </c>
      <c r="H102" s="149">
        <f>6450-6275</f>
        <v>175</v>
      </c>
    </row>
    <row r="103" spans="1:8" x14ac:dyDescent="0.35">
      <c r="A103" s="60"/>
      <c r="B103" s="224" t="s">
        <v>1517</v>
      </c>
      <c r="C103" s="149" t="s">
        <v>1526</v>
      </c>
      <c r="D103" s="149">
        <f>6450-6100</f>
        <v>350</v>
      </c>
      <c r="E103" s="60"/>
      <c r="F103" s="224" t="s">
        <v>1517</v>
      </c>
      <c r="G103" s="149" t="s">
        <v>288</v>
      </c>
      <c r="H103" s="149">
        <f>6450-6200</f>
        <v>250</v>
      </c>
    </row>
    <row r="104" spans="1:8" x14ac:dyDescent="0.35">
      <c r="A104" s="60"/>
      <c r="B104" s="60"/>
      <c r="C104" s="149" t="s">
        <v>1525</v>
      </c>
      <c r="D104" s="149">
        <f>6450-6050</f>
        <v>400</v>
      </c>
      <c r="E104" s="60"/>
      <c r="F104" s="224" t="s">
        <v>1517</v>
      </c>
      <c r="G104" s="149" t="s">
        <v>287</v>
      </c>
      <c r="H104" s="149">
        <f>6450-6175</f>
        <v>275</v>
      </c>
    </row>
    <row r="105" spans="1:8" x14ac:dyDescent="0.35">
      <c r="A105" s="60"/>
      <c r="B105" s="60"/>
      <c r="C105" s="149" t="s">
        <v>1524</v>
      </c>
      <c r="D105" s="149">
        <f>6450-6050</f>
        <v>400</v>
      </c>
      <c r="E105" s="60"/>
      <c r="F105" s="224" t="s">
        <v>1517</v>
      </c>
      <c r="G105" s="149" t="s">
        <v>286</v>
      </c>
      <c r="H105" s="149">
        <f>6450-6200</f>
        <v>250</v>
      </c>
    </row>
    <row r="106" spans="1:8" x14ac:dyDescent="0.35">
      <c r="A106" s="60"/>
      <c r="B106" s="60"/>
      <c r="C106" s="149" t="s">
        <v>1523</v>
      </c>
      <c r="D106" s="149">
        <f>6450-6050</f>
        <v>400</v>
      </c>
      <c r="E106" s="60"/>
      <c r="F106" s="224" t="s">
        <v>1517</v>
      </c>
      <c r="G106" s="149" t="s">
        <v>285</v>
      </c>
      <c r="H106" s="149">
        <f>6450-6200</f>
        <v>250</v>
      </c>
    </row>
    <row r="107" spans="1:8" x14ac:dyDescent="0.35">
      <c r="A107" s="60"/>
      <c r="B107" s="60"/>
      <c r="C107" s="149" t="s">
        <v>1522</v>
      </c>
      <c r="D107" s="149">
        <f>6450-6050</f>
        <v>400</v>
      </c>
      <c r="E107" s="60"/>
      <c r="F107" s="224" t="s">
        <v>1517</v>
      </c>
      <c r="G107" s="149" t="s">
        <v>284</v>
      </c>
      <c r="H107" s="149">
        <f>6450-6200</f>
        <v>250</v>
      </c>
    </row>
    <row r="108" spans="1:8" x14ac:dyDescent="0.35">
      <c r="A108" s="60"/>
      <c r="B108" s="60"/>
      <c r="C108" s="149" t="s">
        <v>1521</v>
      </c>
      <c r="D108" s="149">
        <f>6450-6000</f>
        <v>450</v>
      </c>
      <c r="E108" s="60"/>
      <c r="F108" s="224" t="s">
        <v>1517</v>
      </c>
      <c r="G108" s="149" t="s">
        <v>283</v>
      </c>
      <c r="H108" s="149">
        <f>6450-5825</f>
        <v>625</v>
      </c>
    </row>
    <row r="109" spans="1:8" x14ac:dyDescent="0.35">
      <c r="A109" s="60"/>
      <c r="B109" s="60"/>
      <c r="C109" s="149" t="s">
        <v>1520</v>
      </c>
      <c r="D109" s="149">
        <f>6450-5800</f>
        <v>650</v>
      </c>
      <c r="E109" s="60"/>
      <c r="F109" s="224" t="s">
        <v>1517</v>
      </c>
      <c r="G109" s="149" t="s">
        <v>282</v>
      </c>
      <c r="H109" s="149">
        <f>6450-5725</f>
        <v>725</v>
      </c>
    </row>
    <row r="110" spans="1:8" x14ac:dyDescent="0.35">
      <c r="A110" s="60"/>
      <c r="B110" s="60"/>
      <c r="C110" s="149" t="s">
        <v>1519</v>
      </c>
      <c r="D110" s="149">
        <v>775</v>
      </c>
      <c r="E110" s="60"/>
      <c r="F110" s="224" t="s">
        <v>1517</v>
      </c>
      <c r="G110" s="149" t="s">
        <v>281</v>
      </c>
      <c r="H110" s="149">
        <f>6450-5650</f>
        <v>800</v>
      </c>
    </row>
    <row r="111" spans="1:8" x14ac:dyDescent="0.35">
      <c r="A111" s="60"/>
      <c r="B111" s="60"/>
      <c r="C111" s="602" t="s">
        <v>1518</v>
      </c>
      <c r="D111" s="602">
        <v>775</v>
      </c>
      <c r="E111" s="60"/>
      <c r="F111" s="224" t="s">
        <v>1517</v>
      </c>
      <c r="G111" s="602" t="s">
        <v>280</v>
      </c>
      <c r="H111" s="602">
        <f>6450-5675</f>
        <v>775</v>
      </c>
    </row>
    <row r="112" spans="1:8" x14ac:dyDescent="0.35">
      <c r="A112" s="60"/>
      <c r="B112" s="60"/>
      <c r="C112" s="60" t="s">
        <v>1537</v>
      </c>
      <c r="D112" s="227">
        <f>AVERAGE(D100:D111)</f>
        <v>441.66666666666669</v>
      </c>
      <c r="E112" s="149"/>
      <c r="F112" s="60"/>
      <c r="G112" s="149" t="s">
        <v>1537</v>
      </c>
      <c r="H112" s="227">
        <f>AVERAGE(H100:H110)</f>
        <v>359.09090909090907</v>
      </c>
    </row>
    <row r="113" spans="1:11" x14ac:dyDescent="0.35">
      <c r="A113" s="60"/>
      <c r="B113" s="60"/>
      <c r="C113" s="60"/>
      <c r="D113" s="60"/>
      <c r="E113" s="60"/>
      <c r="F113" s="60"/>
      <c r="G113" s="149"/>
      <c r="H113" s="149"/>
    </row>
    <row r="114" spans="1:11" x14ac:dyDescent="0.35">
      <c r="A114" s="60"/>
      <c r="B114" s="48" t="s">
        <v>1542</v>
      </c>
      <c r="C114" s="60"/>
      <c r="D114" s="60"/>
      <c r="E114" s="60"/>
      <c r="F114" s="60"/>
      <c r="G114" s="60"/>
      <c r="H114" s="60"/>
      <c r="I114" s="60"/>
    </row>
    <row r="115" spans="1:11" x14ac:dyDescent="0.35">
      <c r="C115" s="636" t="s">
        <v>1504</v>
      </c>
      <c r="D115" s="637"/>
      <c r="E115" s="60"/>
      <c r="F115" s="48"/>
      <c r="G115" s="636" t="s">
        <v>1105</v>
      </c>
      <c r="H115" s="637"/>
      <c r="I115" s="60"/>
    </row>
    <row r="116" spans="1:11" x14ac:dyDescent="0.35">
      <c r="B116" s="601"/>
      <c r="C116" s="48" t="s">
        <v>1538</v>
      </c>
      <c r="D116" s="60"/>
      <c r="E116" s="60"/>
      <c r="F116" s="48"/>
      <c r="G116" s="48" t="s">
        <v>1539</v>
      </c>
      <c r="H116" s="60"/>
      <c r="I116" s="60"/>
    </row>
    <row r="117" spans="1:11" x14ac:dyDescent="0.35">
      <c r="B117" s="291"/>
      <c r="C117" s="198" t="s">
        <v>1548</v>
      </c>
      <c r="D117" s="60"/>
      <c r="E117" s="60"/>
      <c r="F117" s="60"/>
      <c r="G117" s="198" t="s">
        <v>1548</v>
      </c>
      <c r="H117" s="60"/>
      <c r="I117" s="60"/>
      <c r="J117" s="107"/>
      <c r="K117" s="107"/>
    </row>
    <row r="118" spans="1:11" x14ac:dyDescent="0.35">
      <c r="A118" s="5"/>
      <c r="B118" s="287"/>
      <c r="C118" s="149" t="s">
        <v>1515</v>
      </c>
      <c r="D118" s="149" t="s">
        <v>1530</v>
      </c>
      <c r="E118" s="149"/>
      <c r="F118" s="149"/>
      <c r="G118" s="149" t="s">
        <v>1515</v>
      </c>
      <c r="H118" s="149" t="s">
        <v>1530</v>
      </c>
      <c r="I118" s="60"/>
    </row>
    <row r="119" spans="1:11" x14ac:dyDescent="0.35">
      <c r="A119" s="107"/>
      <c r="B119" s="287"/>
      <c r="C119" s="149" t="s">
        <v>1526</v>
      </c>
      <c r="D119" s="149">
        <v>200</v>
      </c>
      <c r="E119" s="149"/>
      <c r="F119" s="149"/>
      <c r="G119" s="602" t="s">
        <v>290</v>
      </c>
      <c r="H119" s="602">
        <v>25</v>
      </c>
      <c r="I119" s="60"/>
    </row>
    <row r="120" spans="1:11" x14ac:dyDescent="0.35">
      <c r="A120" s="107"/>
      <c r="B120" s="287"/>
      <c r="C120" s="149" t="s">
        <v>1525</v>
      </c>
      <c r="D120" s="149">
        <v>200</v>
      </c>
      <c r="E120" s="149"/>
      <c r="F120" s="149"/>
      <c r="G120" s="498" t="s">
        <v>1537</v>
      </c>
      <c r="H120" s="429">
        <f>AVERAGE(H119)</f>
        <v>25</v>
      </c>
      <c r="I120" s="224"/>
    </row>
    <row r="121" spans="1:11" x14ac:dyDescent="0.35">
      <c r="A121" s="107"/>
      <c r="B121" s="287"/>
      <c r="C121" s="149" t="s">
        <v>1524</v>
      </c>
      <c r="D121" s="149">
        <v>200</v>
      </c>
      <c r="E121" s="149"/>
      <c r="F121" s="149"/>
      <c r="G121" s="149"/>
      <c r="H121" s="149"/>
      <c r="I121" s="224"/>
    </row>
    <row r="122" spans="1:11" x14ac:dyDescent="0.35">
      <c r="A122" s="107"/>
      <c r="B122" s="287"/>
      <c r="C122" s="149" t="s">
        <v>1523</v>
      </c>
      <c r="D122" s="149">
        <v>200</v>
      </c>
      <c r="E122" s="149"/>
      <c r="F122" s="149"/>
      <c r="G122" s="264" t="s">
        <v>1549</v>
      </c>
      <c r="H122" s="149"/>
      <c r="I122" s="224"/>
    </row>
    <row r="123" spans="1:11" x14ac:dyDescent="0.35">
      <c r="A123" s="107"/>
      <c r="B123" s="287"/>
      <c r="C123" s="149" t="s">
        <v>1522</v>
      </c>
      <c r="D123" s="149">
        <v>200</v>
      </c>
      <c r="E123" s="149"/>
      <c r="F123" s="149"/>
      <c r="G123" s="149"/>
      <c r="H123" s="149"/>
      <c r="I123" s="224"/>
    </row>
    <row r="124" spans="1:11" x14ac:dyDescent="0.35">
      <c r="A124" s="107"/>
      <c r="B124" s="287"/>
      <c r="C124" s="149" t="s">
        <v>1521</v>
      </c>
      <c r="D124" s="149">
        <v>200</v>
      </c>
      <c r="E124" s="149"/>
      <c r="F124" s="149"/>
      <c r="G124" s="149"/>
      <c r="H124" s="149"/>
      <c r="I124" s="224"/>
    </row>
    <row r="125" spans="1:11" x14ac:dyDescent="0.35">
      <c r="A125" s="107"/>
      <c r="B125" s="287"/>
      <c r="C125" s="149" t="s">
        <v>1520</v>
      </c>
      <c r="D125" s="149">
        <v>150</v>
      </c>
      <c r="E125" s="149"/>
      <c r="F125" s="149"/>
      <c r="G125" s="149"/>
      <c r="H125" s="149"/>
      <c r="I125" s="224"/>
    </row>
    <row r="126" spans="1:11" x14ac:dyDescent="0.35">
      <c r="A126" s="107"/>
      <c r="B126" s="287"/>
      <c r="C126" s="149" t="s">
        <v>1519</v>
      </c>
      <c r="D126" s="149">
        <v>120</v>
      </c>
      <c r="E126" s="149"/>
      <c r="F126" s="149"/>
      <c r="G126" s="149"/>
      <c r="H126" s="149"/>
      <c r="I126" s="224"/>
    </row>
    <row r="127" spans="1:11" x14ac:dyDescent="0.35">
      <c r="A127" s="107"/>
      <c r="B127" s="287"/>
      <c r="C127" s="602" t="s">
        <v>1518</v>
      </c>
      <c r="D127" s="602">
        <v>100</v>
      </c>
      <c r="E127" s="149"/>
      <c r="F127" s="149"/>
      <c r="G127" s="149"/>
      <c r="H127" s="149"/>
      <c r="I127" s="224"/>
    </row>
    <row r="128" spans="1:11" x14ac:dyDescent="0.35">
      <c r="A128" s="107"/>
      <c r="B128" s="287"/>
      <c r="C128" s="498" t="s">
        <v>1537</v>
      </c>
      <c r="D128" s="429">
        <f>AVERAGE(D119:D127)</f>
        <v>174.44444444444446</v>
      </c>
      <c r="E128" s="149"/>
      <c r="F128" s="149"/>
      <c r="G128" s="149"/>
      <c r="H128" s="149"/>
      <c r="I128" s="224"/>
    </row>
    <row r="129" spans="1:10" x14ac:dyDescent="0.35">
      <c r="A129" s="107"/>
      <c r="B129" s="287"/>
      <c r="C129" s="287"/>
      <c r="D129" s="287"/>
      <c r="E129" s="287"/>
      <c r="F129" s="287"/>
      <c r="G129" s="287"/>
      <c r="H129" s="287"/>
      <c r="I129" s="600"/>
    </row>
    <row r="130" spans="1:10" x14ac:dyDescent="0.35">
      <c r="D130" s="434" t="s">
        <v>517</v>
      </c>
      <c r="E130" s="434" t="s">
        <v>517</v>
      </c>
      <c r="F130" s="434" t="s">
        <v>518</v>
      </c>
      <c r="G130" s="434" t="s">
        <v>518</v>
      </c>
      <c r="H130" s="434" t="s">
        <v>639</v>
      </c>
      <c r="I130" s="434" t="s">
        <v>639</v>
      </c>
    </row>
    <row r="131" spans="1:10" x14ac:dyDescent="0.35">
      <c r="D131" s="434" t="s">
        <v>1550</v>
      </c>
      <c r="E131" s="434" t="s">
        <v>1551</v>
      </c>
      <c r="F131" s="434" t="s">
        <v>1552</v>
      </c>
      <c r="G131" s="434" t="s">
        <v>1553</v>
      </c>
      <c r="H131" s="434" t="s">
        <v>1554</v>
      </c>
      <c r="I131" s="434" t="s">
        <v>1555</v>
      </c>
    </row>
    <row r="132" spans="1:10" x14ac:dyDescent="0.35">
      <c r="A132" t="s">
        <v>1508</v>
      </c>
      <c r="D132" s="607">
        <f>C87</f>
        <v>4800</v>
      </c>
      <c r="E132" s="607">
        <f>C88</f>
        <v>4000</v>
      </c>
      <c r="F132" s="607">
        <f>D87</f>
        <v>500</v>
      </c>
      <c r="G132" s="607">
        <f>D88</f>
        <v>1000</v>
      </c>
      <c r="H132" s="608" t="s">
        <v>1240</v>
      </c>
      <c r="I132" s="607">
        <f>E88</f>
        <v>6400</v>
      </c>
    </row>
    <row r="133" spans="1:10" x14ac:dyDescent="0.35">
      <c r="A133" t="s">
        <v>300</v>
      </c>
      <c r="D133" s="609">
        <f>0.01445*D128*D128</f>
        <v>439.72598765432099</v>
      </c>
      <c r="E133" s="609">
        <f>0.01445*C92*C92</f>
        <v>36.124999999999993</v>
      </c>
      <c r="F133" s="609">
        <f>0.01445*H120*H120</f>
        <v>9.0312499999999982</v>
      </c>
      <c r="G133" s="609">
        <f>0.01445*D92*D92</f>
        <v>36.124999999999993</v>
      </c>
      <c r="H133" s="404" t="s">
        <v>698</v>
      </c>
      <c r="I133" s="609">
        <f>0.01445*E92*E92</f>
        <v>36.124999999999993</v>
      </c>
      <c r="J133" t="s">
        <v>301</v>
      </c>
    </row>
    <row r="134" spans="1:10" x14ac:dyDescent="0.35">
      <c r="A134" t="s">
        <v>30</v>
      </c>
      <c r="D134" s="607">
        <f>D132*D133</f>
        <v>2110684.7407407407</v>
      </c>
      <c r="E134" s="607">
        <f>E132*E133</f>
        <v>144499.99999999997</v>
      </c>
      <c r="F134" s="609">
        <f>F132*F133</f>
        <v>4515.6249999999991</v>
      </c>
      <c r="G134" s="607">
        <f>G132*G133</f>
        <v>36124.999999999993</v>
      </c>
      <c r="H134" s="404" t="s">
        <v>698</v>
      </c>
      <c r="I134" s="609">
        <f>I132*I133</f>
        <v>231199.99999999994</v>
      </c>
    </row>
    <row r="135" spans="1:10" x14ac:dyDescent="0.35">
      <c r="D135" s="60"/>
      <c r="E135" s="60"/>
      <c r="F135" s="60"/>
      <c r="G135" s="60"/>
      <c r="H135" s="60"/>
      <c r="I135" s="60"/>
    </row>
    <row r="136" spans="1:10" x14ac:dyDescent="0.35">
      <c r="A136" t="s">
        <v>1242</v>
      </c>
      <c r="D136" s="404" t="s">
        <v>517</v>
      </c>
      <c r="E136" s="404" t="s">
        <v>517</v>
      </c>
      <c r="F136" s="404" t="s">
        <v>518</v>
      </c>
      <c r="G136" s="404" t="s">
        <v>518</v>
      </c>
      <c r="H136" s="404" t="s">
        <v>639</v>
      </c>
      <c r="I136" s="404" t="s">
        <v>639</v>
      </c>
    </row>
    <row r="137" spans="1:10" x14ac:dyDescent="0.35">
      <c r="A137" t="s">
        <v>48</v>
      </c>
      <c r="D137" s="404" t="s">
        <v>1244</v>
      </c>
      <c r="E137" s="404" t="s">
        <v>1239</v>
      </c>
      <c r="F137" s="404" t="s">
        <v>1243</v>
      </c>
      <c r="G137" s="404" t="s">
        <v>1245</v>
      </c>
      <c r="H137" s="404" t="s">
        <v>1246</v>
      </c>
      <c r="I137" s="404" t="s">
        <v>1247</v>
      </c>
    </row>
    <row r="138" spans="1:10" x14ac:dyDescent="0.35">
      <c r="B138" t="s">
        <v>49</v>
      </c>
      <c r="D138" s="610" t="s">
        <v>50</v>
      </c>
      <c r="E138" s="610" t="s">
        <v>50</v>
      </c>
      <c r="F138" s="610" t="s">
        <v>50</v>
      </c>
      <c r="G138" s="610" t="s">
        <v>50</v>
      </c>
      <c r="H138" s="435"/>
      <c r="I138" s="610" t="s">
        <v>50</v>
      </c>
    </row>
    <row r="139" spans="1:10" x14ac:dyDescent="0.35">
      <c r="B139" t="s">
        <v>51</v>
      </c>
      <c r="D139" s="610" t="s">
        <v>52</v>
      </c>
      <c r="E139" s="610" t="s">
        <v>52</v>
      </c>
      <c r="F139" s="610" t="s">
        <v>52</v>
      </c>
      <c r="G139" s="610" t="s">
        <v>52</v>
      </c>
      <c r="H139" s="435"/>
      <c r="I139" s="610" t="s">
        <v>52</v>
      </c>
    </row>
    <row r="140" spans="1:10" x14ac:dyDescent="0.35">
      <c r="B140" t="s">
        <v>53</v>
      </c>
      <c r="D140" s="610" t="s">
        <v>54</v>
      </c>
      <c r="E140" s="610" t="s">
        <v>54</v>
      </c>
      <c r="F140" s="610" t="s">
        <v>54</v>
      </c>
      <c r="G140" s="610" t="s">
        <v>54</v>
      </c>
      <c r="H140" s="435"/>
      <c r="I140" s="610" t="s">
        <v>54</v>
      </c>
    </row>
    <row r="141" spans="1:10" x14ac:dyDescent="0.35">
      <c r="B141" t="s">
        <v>55</v>
      </c>
      <c r="D141" s="611">
        <v>0.9</v>
      </c>
      <c r="E141" s="611">
        <v>0.9</v>
      </c>
      <c r="F141" s="611">
        <v>0.9</v>
      </c>
      <c r="G141" s="611">
        <v>0.9</v>
      </c>
      <c r="H141" s="435"/>
      <c r="I141" s="611">
        <v>0.9</v>
      </c>
    </row>
    <row r="142" spans="1:10" x14ac:dyDescent="0.35">
      <c r="B142" t="s">
        <v>56</v>
      </c>
      <c r="D142" s="612">
        <v>146950</v>
      </c>
      <c r="E142" s="612">
        <v>146950</v>
      </c>
      <c r="F142" s="612">
        <v>146950</v>
      </c>
      <c r="G142" s="612">
        <v>146950</v>
      </c>
      <c r="H142" s="435"/>
      <c r="I142" s="612">
        <v>146950</v>
      </c>
    </row>
    <row r="143" spans="1:10" x14ac:dyDescent="0.35">
      <c r="B143" t="s">
        <v>57</v>
      </c>
      <c r="D143" s="610">
        <v>28</v>
      </c>
      <c r="E143" s="610">
        <v>28</v>
      </c>
      <c r="F143" s="610">
        <v>28</v>
      </c>
      <c r="G143" s="610">
        <v>28</v>
      </c>
      <c r="H143" s="435"/>
      <c r="I143" s="610">
        <v>28</v>
      </c>
    </row>
    <row r="144" spans="1:10" x14ac:dyDescent="0.35">
      <c r="B144" t="s">
        <v>58</v>
      </c>
      <c r="D144" s="613">
        <v>3300</v>
      </c>
      <c r="E144" s="613">
        <v>3300</v>
      </c>
      <c r="F144" s="613">
        <v>3300</v>
      </c>
      <c r="G144" s="613">
        <v>3300</v>
      </c>
      <c r="H144" s="435"/>
      <c r="I144" s="613">
        <v>3300</v>
      </c>
    </row>
    <row r="145" spans="1:9" x14ac:dyDescent="0.35">
      <c r="B145" t="s">
        <v>59</v>
      </c>
      <c r="D145" s="610">
        <v>1</v>
      </c>
      <c r="E145" s="610">
        <v>1</v>
      </c>
      <c r="F145" s="610">
        <v>1</v>
      </c>
      <c r="G145" s="610">
        <v>1</v>
      </c>
      <c r="H145" s="435"/>
      <c r="I145" s="610">
        <v>1</v>
      </c>
    </row>
    <row r="146" spans="1:9" x14ac:dyDescent="0.35">
      <c r="A146" t="s">
        <v>60</v>
      </c>
      <c r="D146" s="610"/>
      <c r="E146" s="610"/>
      <c r="F146" s="610"/>
      <c r="G146" s="610"/>
      <c r="H146" s="435"/>
      <c r="I146" s="610"/>
    </row>
    <row r="147" spans="1:9" x14ac:dyDescent="0.35">
      <c r="B147" t="s">
        <v>61</v>
      </c>
      <c r="D147" s="612">
        <v>6450</v>
      </c>
      <c r="E147" s="612">
        <v>6450</v>
      </c>
      <c r="F147" s="612">
        <v>6450</v>
      </c>
      <c r="G147" s="612">
        <v>6450</v>
      </c>
      <c r="H147" s="435"/>
      <c r="I147" s="612">
        <v>6450</v>
      </c>
    </row>
    <row r="148" spans="1:9" x14ac:dyDescent="0.35">
      <c r="B148" t="s">
        <v>62</v>
      </c>
      <c r="D148" s="610">
        <v>1</v>
      </c>
      <c r="E148" s="610">
        <v>1</v>
      </c>
      <c r="F148" s="610">
        <v>1</v>
      </c>
      <c r="G148" s="610">
        <v>1</v>
      </c>
      <c r="H148" s="435"/>
      <c r="I148" s="610">
        <v>1</v>
      </c>
    </row>
    <row r="149" spans="1:9" x14ac:dyDescent="0.35">
      <c r="B149" t="s">
        <v>63</v>
      </c>
      <c r="D149" s="611">
        <v>0.83</v>
      </c>
      <c r="E149" s="611">
        <v>0.83</v>
      </c>
      <c r="F149" s="611">
        <v>0.83</v>
      </c>
      <c r="G149" s="611">
        <v>0.83</v>
      </c>
      <c r="H149" s="435"/>
      <c r="I149" s="611">
        <v>0.83</v>
      </c>
    </row>
    <row r="150" spans="1:9" x14ac:dyDescent="0.35">
      <c r="B150" t="s">
        <v>64</v>
      </c>
      <c r="D150" s="611">
        <v>0.75</v>
      </c>
      <c r="E150" s="611">
        <v>0.75</v>
      </c>
      <c r="F150" s="611">
        <v>0.75</v>
      </c>
      <c r="G150" s="611">
        <v>0.75</v>
      </c>
      <c r="H150" s="435"/>
      <c r="I150" s="611">
        <v>0.75</v>
      </c>
    </row>
    <row r="151" spans="1:9" x14ac:dyDescent="0.35">
      <c r="A151" t="s">
        <v>65</v>
      </c>
      <c r="D151" s="610"/>
      <c r="E151" s="610"/>
      <c r="F151" s="610"/>
      <c r="G151" s="610"/>
      <c r="H151" s="435"/>
      <c r="I151" s="610"/>
    </row>
    <row r="152" spans="1:9" x14ac:dyDescent="0.35">
      <c r="B152" t="s">
        <v>66</v>
      </c>
      <c r="D152" s="610">
        <v>100</v>
      </c>
      <c r="E152" s="610">
        <v>100</v>
      </c>
      <c r="F152" s="610">
        <v>100</v>
      </c>
      <c r="G152" s="610">
        <v>100</v>
      </c>
      <c r="H152" s="435"/>
      <c r="I152" s="610">
        <v>100</v>
      </c>
    </row>
    <row r="153" spans="1:9" x14ac:dyDescent="0.35">
      <c r="B153" t="s">
        <v>67</v>
      </c>
      <c r="D153" s="611">
        <v>0</v>
      </c>
      <c r="E153" s="611">
        <v>0</v>
      </c>
      <c r="F153" s="611">
        <v>0</v>
      </c>
      <c r="G153" s="611">
        <v>0</v>
      </c>
      <c r="H153" s="435"/>
      <c r="I153" s="611">
        <v>0</v>
      </c>
    </row>
    <row r="154" spans="1:9" x14ac:dyDescent="0.35">
      <c r="B154" t="s">
        <v>68</v>
      </c>
      <c r="D154" s="613">
        <f>D134</f>
        <v>2110684.7407407407</v>
      </c>
      <c r="E154" s="613">
        <f>E134</f>
        <v>144499.99999999997</v>
      </c>
      <c r="F154" s="613">
        <f>F134</f>
        <v>4515.6249999999991</v>
      </c>
      <c r="G154" s="613">
        <f>G134</f>
        <v>36124.999999999993</v>
      </c>
      <c r="H154" s="435"/>
      <c r="I154" s="613">
        <f>I134</f>
        <v>231199.99999999994</v>
      </c>
    </row>
    <row r="155" spans="1:9" x14ac:dyDescent="0.35">
      <c r="A155" t="s">
        <v>69</v>
      </c>
      <c r="D155" s="610"/>
      <c r="E155" s="610"/>
      <c r="F155" s="610"/>
      <c r="G155" s="610"/>
      <c r="H155" s="435"/>
      <c r="I155" s="610"/>
    </row>
    <row r="156" spans="1:9" x14ac:dyDescent="0.35">
      <c r="B156" t="s">
        <v>70</v>
      </c>
      <c r="D156" s="613">
        <v>1500</v>
      </c>
      <c r="E156" s="613">
        <v>1500</v>
      </c>
      <c r="F156" s="613">
        <v>1500</v>
      </c>
      <c r="G156" s="613">
        <v>1500</v>
      </c>
      <c r="H156" s="435"/>
      <c r="I156" s="613">
        <v>1500</v>
      </c>
    </row>
    <row r="157" spans="1:9" x14ac:dyDescent="0.35">
      <c r="B157" t="s">
        <v>292</v>
      </c>
      <c r="D157" s="613">
        <f>D156*D149*D150*D141</f>
        <v>840.375</v>
      </c>
      <c r="E157" s="613">
        <f>E156*E149*E150*E141</f>
        <v>840.375</v>
      </c>
      <c r="F157" s="613">
        <f>F156*F149*F150*F141</f>
        <v>840.375</v>
      </c>
      <c r="G157" s="613">
        <f>G156*G149*G150*G141</f>
        <v>840.375</v>
      </c>
      <c r="H157" s="435"/>
      <c r="I157" s="613">
        <f>I156*I149*I150*I141</f>
        <v>840.375</v>
      </c>
    </row>
    <row r="158" spans="1:9" x14ac:dyDescent="0.35">
      <c r="B158" t="s">
        <v>71</v>
      </c>
      <c r="D158" s="613">
        <f>D154/D157</f>
        <v>2511.5986800425294</v>
      </c>
      <c r="E158" s="613">
        <f>E154/E157</f>
        <v>171.94704744905545</v>
      </c>
      <c r="F158" s="613">
        <f>F154/F157</f>
        <v>5.3733452327829827</v>
      </c>
      <c r="G158" s="613">
        <f>G154/G157</f>
        <v>42.986761862263862</v>
      </c>
      <c r="H158" s="435"/>
      <c r="I158" s="613">
        <f>I154/I157</f>
        <v>275.11527591848869</v>
      </c>
    </row>
    <row r="159" spans="1:9" x14ac:dyDescent="0.35">
      <c r="B159" t="s">
        <v>72</v>
      </c>
      <c r="D159" s="614">
        <f>D158/4</f>
        <v>627.89967001063235</v>
      </c>
      <c r="E159" s="614">
        <f>E158/4</f>
        <v>42.986761862263862</v>
      </c>
      <c r="F159" s="614">
        <f>F158/4</f>
        <v>1.3433363081957457</v>
      </c>
      <c r="G159" s="614">
        <f>G158/4</f>
        <v>10.746690465565965</v>
      </c>
      <c r="H159" s="435"/>
      <c r="I159" s="614">
        <f>I158/4</f>
        <v>68.778818979622173</v>
      </c>
    </row>
    <row r="160" spans="1:9" x14ac:dyDescent="0.35">
      <c r="B160" t="s">
        <v>73</v>
      </c>
      <c r="D160" s="615">
        <f>D159*'Rates 2020'!$J$11*4</f>
        <v>1251604.9702255935</v>
      </c>
      <c r="E160" s="615">
        <f>E159*'Rates 2020'!$J$11*4</f>
        <v>85686.372155287798</v>
      </c>
      <c r="F160" s="615">
        <f>F159*'Rates 2020'!$J$11*4</f>
        <v>2677.6991298527437</v>
      </c>
      <c r="G160" s="615">
        <f>G159*'Rates 2020'!$J$11*4</f>
        <v>21421.593038821949</v>
      </c>
      <c r="H160" s="60"/>
      <c r="I160" s="615">
        <f>I159*'Rates 2020'!$J$11*4</f>
        <v>137098.19544846046</v>
      </c>
    </row>
    <row r="161" spans="1:9" x14ac:dyDescent="0.35">
      <c r="B161" s="216" t="s">
        <v>395</v>
      </c>
      <c r="D161" s="616">
        <f>D160/D134</f>
        <v>0.59298527443105753</v>
      </c>
      <c r="E161" s="616">
        <f>E160/E134</f>
        <v>0.59298527443105753</v>
      </c>
      <c r="F161" s="616">
        <f>F160/F134</f>
        <v>0.59298527443105753</v>
      </c>
      <c r="G161" s="616">
        <f>G160/G134</f>
        <v>0.59298527443105753</v>
      </c>
      <c r="H161" s="60"/>
      <c r="I161" s="616">
        <f>I160/I134</f>
        <v>0.59298527443105753</v>
      </c>
    </row>
    <row r="162" spans="1:9" x14ac:dyDescent="0.35">
      <c r="D162" s="60"/>
      <c r="E162" s="60"/>
      <c r="F162" s="60"/>
      <c r="G162" s="60"/>
      <c r="H162" s="60"/>
      <c r="I162" s="60"/>
    </row>
    <row r="163" spans="1:9" x14ac:dyDescent="0.35">
      <c r="B163" t="s">
        <v>1249</v>
      </c>
      <c r="D163" s="230">
        <f>D160</f>
        <v>1251604.9702255935</v>
      </c>
      <c r="E163" s="230">
        <f>E160</f>
        <v>85686.372155287798</v>
      </c>
      <c r="F163" s="230">
        <f>F160</f>
        <v>2677.6991298527437</v>
      </c>
      <c r="G163" s="230">
        <f>G160</f>
        <v>21421.593038821949</v>
      </c>
      <c r="H163" s="60"/>
      <c r="I163" s="230">
        <f>I160</f>
        <v>137098.19544846046</v>
      </c>
    </row>
    <row r="164" spans="1:9" x14ac:dyDescent="0.35">
      <c r="D164" s="291"/>
      <c r="E164" s="291"/>
      <c r="F164" s="291"/>
    </row>
    <row r="165" spans="1:9" x14ac:dyDescent="0.35">
      <c r="D165" s="149" t="s">
        <v>517</v>
      </c>
      <c r="E165" s="149" t="s">
        <v>518</v>
      </c>
      <c r="F165" s="149" t="s">
        <v>639</v>
      </c>
    </row>
    <row r="166" spans="1:9" x14ac:dyDescent="0.35">
      <c r="D166" s="149" t="s">
        <v>1104</v>
      </c>
      <c r="E166" s="149" t="s">
        <v>1105</v>
      </c>
      <c r="F166" s="149" t="s">
        <v>4</v>
      </c>
    </row>
    <row r="167" spans="1:9" x14ac:dyDescent="0.35">
      <c r="A167" s="44" t="s">
        <v>1248</v>
      </c>
      <c r="B167" s="44"/>
      <c r="C167" s="44"/>
      <c r="D167" s="393">
        <f>D163+E163</f>
        <v>1337291.3423808813</v>
      </c>
      <c r="E167" s="393">
        <f>F163+G163</f>
        <v>24099.292168674692</v>
      </c>
      <c r="F167" s="393">
        <f>I163</f>
        <v>137098.19544846046</v>
      </c>
    </row>
    <row r="168" spans="1:9" x14ac:dyDescent="0.35">
      <c r="D168" s="197"/>
      <c r="E168" s="197"/>
      <c r="F168" s="197"/>
    </row>
    <row r="169" spans="1:9" x14ac:dyDescent="0.35">
      <c r="D169" s="60"/>
      <c r="E169" s="60"/>
      <c r="F169" s="60"/>
    </row>
    <row r="170" spans="1:9" x14ac:dyDescent="0.35">
      <c r="A170" s="121" t="s">
        <v>302</v>
      </c>
      <c r="B170" s="121"/>
      <c r="C170" s="44"/>
    </row>
    <row r="171" spans="1:9" x14ac:dyDescent="0.35">
      <c r="A171" t="s">
        <v>27</v>
      </c>
    </row>
    <row r="172" spans="1:9" x14ac:dyDescent="0.35">
      <c r="A172" t="s">
        <v>1126</v>
      </c>
    </row>
    <row r="173" spans="1:9" x14ac:dyDescent="0.35">
      <c r="A173" t="s">
        <v>304</v>
      </c>
    </row>
    <row r="174" spans="1:9" x14ac:dyDescent="0.35">
      <c r="A174" s="60" t="s">
        <v>1132</v>
      </c>
    </row>
    <row r="175" spans="1:9" x14ac:dyDescent="0.35">
      <c r="A175" t="s">
        <v>1122</v>
      </c>
    </row>
    <row r="176" spans="1:9" x14ac:dyDescent="0.35">
      <c r="A176" t="s">
        <v>305</v>
      </c>
    </row>
    <row r="177" spans="1:6" x14ac:dyDescent="0.35">
      <c r="A177" s="60" t="s">
        <v>303</v>
      </c>
      <c r="C177" s="22">
        <f>(2000*200*3)/27</f>
        <v>44444.444444444445</v>
      </c>
    </row>
    <row r="179" spans="1:6" x14ac:dyDescent="0.35">
      <c r="C179" s="2" t="s">
        <v>517</v>
      </c>
      <c r="D179" s="2" t="s">
        <v>518</v>
      </c>
      <c r="E179" s="2" t="s">
        <v>639</v>
      </c>
    </row>
    <row r="180" spans="1:6" x14ac:dyDescent="0.35">
      <c r="C180" s="2" t="s">
        <v>1104</v>
      </c>
      <c r="D180" s="2" t="s">
        <v>1105</v>
      </c>
      <c r="E180" s="2" t="s">
        <v>4</v>
      </c>
      <c r="F180" s="2" t="s">
        <v>83</v>
      </c>
    </row>
    <row r="181" spans="1:6" x14ac:dyDescent="0.35">
      <c r="A181" s="60" t="s">
        <v>1131</v>
      </c>
      <c r="C181" s="351">
        <v>4.6483608749575263</v>
      </c>
      <c r="D181" s="351">
        <v>9.3814150566480432</v>
      </c>
      <c r="E181" s="352" t="s">
        <v>698</v>
      </c>
      <c r="F181" s="51">
        <f>C181+D181</f>
        <v>14.02977593160557</v>
      </c>
    </row>
    <row r="183" spans="1:6" x14ac:dyDescent="0.35">
      <c r="A183" t="s">
        <v>1127</v>
      </c>
    </row>
    <row r="184" spans="1:6" x14ac:dyDescent="0.35">
      <c r="A184" t="s">
        <v>1128</v>
      </c>
    </row>
    <row r="186" spans="1:6" x14ac:dyDescent="0.35">
      <c r="A186" s="121" t="s">
        <v>306</v>
      </c>
      <c r="B186" s="121"/>
      <c r="C186" s="105">
        <v>0</v>
      </c>
      <c r="D186" s="105">
        <v>0</v>
      </c>
      <c r="E186" s="105">
        <v>0</v>
      </c>
    </row>
    <row r="188" spans="1:6" x14ac:dyDescent="0.35">
      <c r="A188" s="5"/>
    </row>
    <row r="189" spans="1:6" x14ac:dyDescent="0.35">
      <c r="A189" s="44" t="s">
        <v>1124</v>
      </c>
      <c r="B189" s="44"/>
    </row>
    <row r="190" spans="1:6" x14ac:dyDescent="0.35">
      <c r="A190" t="s">
        <v>27</v>
      </c>
    </row>
    <row r="191" spans="1:6" x14ac:dyDescent="0.35">
      <c r="A191" t="s">
        <v>1107</v>
      </c>
    </row>
    <row r="192" spans="1:6" x14ac:dyDescent="0.35">
      <c r="A192" t="s">
        <v>28</v>
      </c>
    </row>
    <row r="193" spans="1:5" x14ac:dyDescent="0.35">
      <c r="A193" t="s">
        <v>29</v>
      </c>
    </row>
    <row r="194" spans="1:5" x14ac:dyDescent="0.35">
      <c r="A194" t="s">
        <v>1119</v>
      </c>
    </row>
    <row r="195" spans="1:5" ht="17.25" customHeight="1" x14ac:dyDescent="0.35">
      <c r="A195" t="s">
        <v>1120</v>
      </c>
    </row>
    <row r="196" spans="1:5" x14ac:dyDescent="0.35">
      <c r="A196" t="s">
        <v>1116</v>
      </c>
    </row>
    <row r="197" spans="1:5" ht="17.25" customHeight="1" x14ac:dyDescent="0.35"/>
    <row r="198" spans="1:5" x14ac:dyDescent="0.35">
      <c r="A198" t="s">
        <v>1117</v>
      </c>
    </row>
    <row r="199" spans="1:5" x14ac:dyDescent="0.35">
      <c r="A199" t="s">
        <v>1118</v>
      </c>
    </row>
    <row r="200" spans="1:5" x14ac:dyDescent="0.35">
      <c r="A200" t="s">
        <v>296</v>
      </c>
    </row>
    <row r="201" spans="1:5" x14ac:dyDescent="0.35">
      <c r="C201" s="352" t="s">
        <v>517</v>
      </c>
      <c r="D201" s="352" t="s">
        <v>518</v>
      </c>
      <c r="E201" s="352" t="s">
        <v>639</v>
      </c>
    </row>
    <row r="202" spans="1:5" x14ac:dyDescent="0.35">
      <c r="C202" s="352" t="s">
        <v>1104</v>
      </c>
      <c r="D202" s="352" t="s">
        <v>1105</v>
      </c>
      <c r="E202" s="352" t="s">
        <v>4</v>
      </c>
    </row>
    <row r="203" spans="1:5" x14ac:dyDescent="0.35">
      <c r="A203" t="s">
        <v>1112</v>
      </c>
      <c r="C203" s="356">
        <f>C26+C30</f>
        <v>8.3809058634347693</v>
      </c>
      <c r="D203" s="356">
        <f>C33</f>
        <v>0.61557952762189783</v>
      </c>
      <c r="E203" s="356">
        <f>C39</f>
        <v>7.7409159520992885</v>
      </c>
    </row>
    <row r="204" spans="1:5" x14ac:dyDescent="0.35">
      <c r="A204" t="s">
        <v>1115</v>
      </c>
      <c r="C204" s="356">
        <f>C25</f>
        <v>26.626057999458883</v>
      </c>
      <c r="D204" s="356">
        <f>C32</f>
        <v>5.6983027186284687</v>
      </c>
      <c r="E204" s="356">
        <f>C38</f>
        <v>68.971925895276726</v>
      </c>
    </row>
    <row r="205" spans="1:5" x14ac:dyDescent="0.35">
      <c r="A205" t="s">
        <v>295</v>
      </c>
      <c r="C205" s="352">
        <v>0.5</v>
      </c>
      <c r="D205" s="352">
        <v>0.5</v>
      </c>
      <c r="E205" s="352">
        <v>0.5</v>
      </c>
    </row>
    <row r="206" spans="1:5" x14ac:dyDescent="0.35">
      <c r="A206" t="s">
        <v>167</v>
      </c>
      <c r="C206" s="356">
        <f>C204/C205</f>
        <v>53.252115998917766</v>
      </c>
      <c r="D206" s="356">
        <f>D204/D205</f>
        <v>11.396605437256937</v>
      </c>
      <c r="E206" s="356">
        <f>E204/E205</f>
        <v>137.94385179055345</v>
      </c>
    </row>
    <row r="207" spans="1:5" x14ac:dyDescent="0.35">
      <c r="A207" t="s">
        <v>170</v>
      </c>
      <c r="C207" s="77">
        <f>C206*'Rates 2020'!$J$11</f>
        <v>26537.126965740688</v>
      </c>
      <c r="D207" s="77">
        <f>D206*'Rates 2020'!$J$11</f>
        <v>5679.2703875482493</v>
      </c>
      <c r="E207" s="77">
        <f>E206*'Rates 2020'!$J$11</f>
        <v>68741.559662786502</v>
      </c>
    </row>
    <row r="209" spans="1:5" x14ac:dyDescent="0.35">
      <c r="A209" s="44" t="s">
        <v>294</v>
      </c>
      <c r="B209" s="44"/>
      <c r="C209" s="383">
        <f>C207</f>
        <v>26537.126965740688</v>
      </c>
      <c r="D209" s="383">
        <f>D207</f>
        <v>5679.2703875482493</v>
      </c>
      <c r="E209" s="383">
        <f>E207</f>
        <v>68741.559662786502</v>
      </c>
    </row>
    <row r="212" spans="1:5" x14ac:dyDescent="0.35">
      <c r="A212" s="121" t="s">
        <v>159</v>
      </c>
      <c r="B212" s="44"/>
      <c r="C212" s="44"/>
      <c r="D212" s="44"/>
    </row>
    <row r="213" spans="1:5" x14ac:dyDescent="0.35">
      <c r="A213" t="s">
        <v>27</v>
      </c>
      <c r="E213" s="46"/>
    </row>
    <row r="214" spans="1:5" x14ac:dyDescent="0.35">
      <c r="A214" t="s">
        <v>1121</v>
      </c>
      <c r="E214" s="46"/>
    </row>
    <row r="215" spans="1:5" x14ac:dyDescent="0.35">
      <c r="A215" t="s">
        <v>161</v>
      </c>
      <c r="E215" s="46"/>
    </row>
    <row r="216" spans="1:5" x14ac:dyDescent="0.35">
      <c r="A216" t="s">
        <v>162</v>
      </c>
      <c r="E216" s="46"/>
    </row>
    <row r="218" spans="1:5" x14ac:dyDescent="0.35">
      <c r="A218" t="s">
        <v>1129</v>
      </c>
    </row>
    <row r="219" spans="1:5" x14ac:dyDescent="0.35">
      <c r="A219" t="s">
        <v>1130</v>
      </c>
      <c r="E219" s="46"/>
    </row>
    <row r="220" spans="1:5" x14ac:dyDescent="0.35">
      <c r="A220" t="s">
        <v>312</v>
      </c>
    </row>
    <row r="222" spans="1:5" x14ac:dyDescent="0.35">
      <c r="A222" t="s">
        <v>163</v>
      </c>
      <c r="E222" s="46"/>
    </row>
    <row r="223" spans="1:5" x14ac:dyDescent="0.35">
      <c r="A223" t="s">
        <v>164</v>
      </c>
      <c r="E223" s="46"/>
    </row>
    <row r="224" spans="1:5" x14ac:dyDescent="0.35">
      <c r="E224" s="46"/>
    </row>
    <row r="225" spans="1:5" x14ac:dyDescent="0.35">
      <c r="C225" s="352" t="s">
        <v>517</v>
      </c>
      <c r="D225" s="352" t="s">
        <v>518</v>
      </c>
      <c r="E225" s="352" t="s">
        <v>639</v>
      </c>
    </row>
    <row r="226" spans="1:5" x14ac:dyDescent="0.35">
      <c r="C226" s="352" t="s">
        <v>1104</v>
      </c>
      <c r="D226" s="352" t="s">
        <v>1105</v>
      </c>
      <c r="E226" s="352" t="s">
        <v>4</v>
      </c>
    </row>
    <row r="227" spans="1:5" x14ac:dyDescent="0.35">
      <c r="A227" t="s">
        <v>165</v>
      </c>
      <c r="C227" s="440">
        <v>19500</v>
      </c>
      <c r="D227" s="440">
        <f>5500*3</f>
        <v>16500</v>
      </c>
      <c r="E227" s="352" t="s">
        <v>1125</v>
      </c>
    </row>
    <row r="228" spans="1:5" x14ac:dyDescent="0.35">
      <c r="A228" t="s">
        <v>166</v>
      </c>
      <c r="C228" s="353">
        <v>100</v>
      </c>
      <c r="D228" s="353">
        <v>100</v>
      </c>
      <c r="E228" s="352" t="s">
        <v>698</v>
      </c>
    </row>
    <row r="229" spans="1:5" x14ac:dyDescent="0.35">
      <c r="A229" t="s">
        <v>167</v>
      </c>
      <c r="C229" s="353">
        <f>+C227/C228</f>
        <v>195</v>
      </c>
      <c r="D229" s="353">
        <f>+D227/D228</f>
        <v>165</v>
      </c>
      <c r="E229" s="352" t="s">
        <v>698</v>
      </c>
    </row>
    <row r="230" spans="1:5" x14ac:dyDescent="0.35">
      <c r="A230" t="s">
        <v>168</v>
      </c>
      <c r="B230" s="45"/>
      <c r="C230" s="441">
        <f>C229*'Rates 2020'!$J$13</f>
        <v>64858.950000000004</v>
      </c>
      <c r="D230" s="441">
        <f>D229*'Rates 2020'!$J$13</f>
        <v>54880.65</v>
      </c>
      <c r="E230" s="352" t="s">
        <v>698</v>
      </c>
    </row>
    <row r="231" spans="1:5" x14ac:dyDescent="0.35">
      <c r="A231" t="s">
        <v>169</v>
      </c>
      <c r="C231" s="441">
        <f>C230*0.15</f>
        <v>9728.8425000000007</v>
      </c>
      <c r="D231" s="441">
        <f>D230*0.15</f>
        <v>8232.0974999999999</v>
      </c>
      <c r="E231" s="352" t="s">
        <v>698</v>
      </c>
    </row>
    <row r="232" spans="1:5" x14ac:dyDescent="0.35">
      <c r="A232" t="s">
        <v>170</v>
      </c>
      <c r="C232" s="45">
        <f>SUM(C230:C231)</f>
        <v>74587.79250000001</v>
      </c>
      <c r="D232" s="45">
        <f>SUM(D230:D231)</f>
        <v>63112.747499999998</v>
      </c>
      <c r="E232" s="2" t="s">
        <v>698</v>
      </c>
    </row>
    <row r="233" spans="1:5" x14ac:dyDescent="0.35">
      <c r="A233" s="47"/>
      <c r="B233" s="48"/>
      <c r="C233" s="48"/>
      <c r="D233" s="48"/>
      <c r="E233" s="46"/>
    </row>
    <row r="234" spans="1:5" x14ac:dyDescent="0.35">
      <c r="A234" s="121" t="s">
        <v>171</v>
      </c>
      <c r="B234" s="121"/>
      <c r="C234" s="384">
        <f>C232</f>
        <v>74587.79250000001</v>
      </c>
      <c r="D234" s="384">
        <f>D232</f>
        <v>63112.747499999998</v>
      </c>
      <c r="E234" s="384">
        <v>0</v>
      </c>
    </row>
    <row r="235" spans="1:5" x14ac:dyDescent="0.35">
      <c r="A235" s="79"/>
    </row>
    <row r="237" spans="1:5" x14ac:dyDescent="0.35">
      <c r="A237" s="121" t="s">
        <v>1150</v>
      </c>
      <c r="B237" s="44"/>
    </row>
    <row r="238" spans="1:5" x14ac:dyDescent="0.35">
      <c r="A238" t="s">
        <v>160</v>
      </c>
    </row>
    <row r="239" spans="1:5" x14ac:dyDescent="0.35">
      <c r="A239" t="s">
        <v>1165</v>
      </c>
    </row>
    <row r="240" spans="1:5" x14ac:dyDescent="0.35">
      <c r="A240" t="s">
        <v>1151</v>
      </c>
    </row>
    <row r="241" spans="1:13" x14ac:dyDescent="0.35">
      <c r="A241" t="s">
        <v>1146</v>
      </c>
    </row>
    <row r="242" spans="1:13" x14ac:dyDescent="0.35">
      <c r="A242" t="s">
        <v>1145</v>
      </c>
    </row>
    <row r="243" spans="1:13" x14ac:dyDescent="0.35">
      <c r="A243" t="s">
        <v>1152</v>
      </c>
    </row>
    <row r="245" spans="1:13" x14ac:dyDescent="0.35">
      <c r="A245" t="s">
        <v>1133</v>
      </c>
    </row>
    <row r="247" spans="1:13" x14ac:dyDescent="0.35">
      <c r="C247" s="352" t="s">
        <v>517</v>
      </c>
      <c r="D247" s="352" t="s">
        <v>517</v>
      </c>
      <c r="E247" s="352" t="s">
        <v>517</v>
      </c>
      <c r="F247" s="352" t="s">
        <v>518</v>
      </c>
      <c r="G247" s="352" t="s">
        <v>518</v>
      </c>
      <c r="H247" s="352" t="s">
        <v>518</v>
      </c>
      <c r="I247" s="352" t="s">
        <v>639</v>
      </c>
      <c r="J247" s="352" t="s">
        <v>639</v>
      </c>
      <c r="K247" s="352" t="s">
        <v>639</v>
      </c>
      <c r="L247" s="352" t="s">
        <v>639</v>
      </c>
      <c r="M247" s="352" t="s">
        <v>639</v>
      </c>
    </row>
    <row r="248" spans="1:13" x14ac:dyDescent="0.35">
      <c r="C248" s="352" t="s">
        <v>1104</v>
      </c>
      <c r="D248" s="352" t="s">
        <v>1104</v>
      </c>
      <c r="E248" s="352" t="s">
        <v>1104</v>
      </c>
      <c r="F248" s="352" t="s">
        <v>1105</v>
      </c>
      <c r="G248" s="352" t="s">
        <v>1105</v>
      </c>
      <c r="H248" s="352" t="s">
        <v>1105</v>
      </c>
      <c r="I248" s="352" t="s">
        <v>4</v>
      </c>
      <c r="J248" s="352" t="s">
        <v>4</v>
      </c>
      <c r="K248" s="352" t="s">
        <v>4</v>
      </c>
      <c r="L248" s="352" t="s">
        <v>4</v>
      </c>
      <c r="M248" s="352" t="s">
        <v>4</v>
      </c>
    </row>
    <row r="249" spans="1:13" x14ac:dyDescent="0.35">
      <c r="C249" s="352" t="s">
        <v>2</v>
      </c>
      <c r="D249" s="352" t="s">
        <v>1147</v>
      </c>
      <c r="E249" s="352" t="s">
        <v>1148</v>
      </c>
      <c r="F249" s="352" t="s">
        <v>2</v>
      </c>
      <c r="G249" s="352" t="s">
        <v>1147</v>
      </c>
      <c r="H249" s="352" t="s">
        <v>1148</v>
      </c>
      <c r="I249" s="352" t="s">
        <v>2</v>
      </c>
      <c r="J249" s="352" t="s">
        <v>1134</v>
      </c>
      <c r="K249" s="352" t="s">
        <v>1135</v>
      </c>
      <c r="L249" s="352" t="s">
        <v>1147</v>
      </c>
      <c r="M249" s="352" t="s">
        <v>1148</v>
      </c>
    </row>
    <row r="250" spans="1:13" x14ac:dyDescent="0.35">
      <c r="A250" t="s">
        <v>1166</v>
      </c>
      <c r="C250" s="352">
        <f>0*1.12</f>
        <v>0</v>
      </c>
      <c r="D250" s="352" t="s">
        <v>698</v>
      </c>
      <c r="E250" s="352" t="s">
        <v>698</v>
      </c>
      <c r="F250" s="352">
        <f>0*1.12</f>
        <v>0</v>
      </c>
      <c r="G250" s="352">
        <v>36</v>
      </c>
      <c r="H250" s="352" t="s">
        <v>698</v>
      </c>
      <c r="I250" s="352">
        <f>0*1.12</f>
        <v>0</v>
      </c>
      <c r="J250" s="352" t="s">
        <v>698</v>
      </c>
      <c r="K250" s="352" t="s">
        <v>698</v>
      </c>
      <c r="L250" s="352">
        <v>36</v>
      </c>
      <c r="M250" s="354">
        <f t="shared" ref="M250:M255" si="0">(I250*43560*(L250/12))/27</f>
        <v>0</v>
      </c>
    </row>
    <row r="251" spans="1:13" x14ac:dyDescent="0.35">
      <c r="A251" t="s">
        <v>1167</v>
      </c>
      <c r="C251" s="352">
        <f>0*1.08</f>
        <v>0</v>
      </c>
      <c r="D251" s="352" t="s">
        <v>698</v>
      </c>
      <c r="E251" s="352" t="s">
        <v>698</v>
      </c>
      <c r="F251" s="352">
        <f>0*1.08</f>
        <v>0</v>
      </c>
      <c r="G251" s="352" t="s">
        <v>698</v>
      </c>
      <c r="H251" s="352" t="s">
        <v>698</v>
      </c>
      <c r="I251" s="356">
        <f>6.3*1.08</f>
        <v>6.8040000000000003</v>
      </c>
      <c r="J251" s="352" t="s">
        <v>698</v>
      </c>
      <c r="K251" s="352" t="s">
        <v>698</v>
      </c>
      <c r="L251" s="352">
        <v>36</v>
      </c>
      <c r="M251" s="354">
        <f t="shared" si="0"/>
        <v>32931.360000000001</v>
      </c>
    </row>
    <row r="252" spans="1:13" x14ac:dyDescent="0.35">
      <c r="A252" t="s">
        <v>1168</v>
      </c>
      <c r="C252" s="356">
        <f>68.4*1.067</f>
        <v>72.982799999999997</v>
      </c>
      <c r="D252" s="352">
        <v>20</v>
      </c>
      <c r="E252" s="354">
        <f>(C252*43560*(D252/12))/27</f>
        <v>196242.63999999998</v>
      </c>
      <c r="F252" s="352">
        <v>1.7</v>
      </c>
      <c r="G252" s="352">
        <v>20</v>
      </c>
      <c r="H252" s="354">
        <f>(F252*43560*(G252/12))/27</f>
        <v>4571.1111111111113</v>
      </c>
      <c r="I252" s="356">
        <f>2.6*1.067</f>
        <v>2.7742</v>
      </c>
      <c r="J252" s="352" t="s">
        <v>698</v>
      </c>
      <c r="K252" s="352" t="s">
        <v>698</v>
      </c>
      <c r="L252" s="352">
        <v>36</v>
      </c>
      <c r="M252" s="354">
        <f t="shared" si="0"/>
        <v>13427.128000000001</v>
      </c>
    </row>
    <row r="253" spans="1:13" x14ac:dyDescent="0.35">
      <c r="A253" t="s">
        <v>1169</v>
      </c>
      <c r="C253" s="356">
        <f>17.3*1.067</f>
        <v>18.459099999999999</v>
      </c>
      <c r="D253" s="352">
        <v>20</v>
      </c>
      <c r="E253" s="354">
        <f>(C253*43560*(D253/12))/27</f>
        <v>49634.468888888885</v>
      </c>
      <c r="F253" s="356">
        <f>2.6*1.067</f>
        <v>2.7742</v>
      </c>
      <c r="G253" s="352">
        <v>20</v>
      </c>
      <c r="H253" s="354">
        <f>(F253*43560*(G253/12))/27</f>
        <v>7459.5155555555557</v>
      </c>
      <c r="I253" s="356">
        <f>55.2*1.067</f>
        <v>58.898400000000002</v>
      </c>
      <c r="J253" s="352" t="s">
        <v>698</v>
      </c>
      <c r="K253" s="352" t="s">
        <v>698</v>
      </c>
      <c r="L253" s="352">
        <v>36</v>
      </c>
      <c r="M253" s="354">
        <f t="shared" si="0"/>
        <v>285068.25599999999</v>
      </c>
    </row>
    <row r="254" spans="1:13" x14ac:dyDescent="0.35">
      <c r="A254" t="s">
        <v>1170</v>
      </c>
      <c r="C254" s="352">
        <f>0*1.05</f>
        <v>0</v>
      </c>
      <c r="D254" s="352" t="s">
        <v>698</v>
      </c>
      <c r="E254" s="352" t="s">
        <v>698</v>
      </c>
      <c r="F254" s="352">
        <f>0*1.05</f>
        <v>0</v>
      </c>
      <c r="G254" s="352" t="s">
        <v>698</v>
      </c>
      <c r="H254" s="354" t="s">
        <v>698</v>
      </c>
      <c r="I254" s="352">
        <f>22*1.05</f>
        <v>23.1</v>
      </c>
      <c r="J254" s="352">
        <v>6</v>
      </c>
      <c r="K254" s="23">
        <f>(I254*43560*(J254/12))/27</f>
        <v>18634.000000000004</v>
      </c>
      <c r="L254" s="352">
        <v>36</v>
      </c>
      <c r="M254" s="354">
        <f t="shared" si="0"/>
        <v>111804.00000000001</v>
      </c>
    </row>
    <row r="255" spans="1:13" x14ac:dyDescent="0.35">
      <c r="A255" t="s">
        <v>1171</v>
      </c>
      <c r="C255" s="352">
        <v>26.6</v>
      </c>
      <c r="D255" s="352">
        <v>28</v>
      </c>
      <c r="E255" s="354">
        <f>(C255*43560*(D255/12))/27</f>
        <v>100134.22222222222</v>
      </c>
      <c r="F255" s="352">
        <v>5.7</v>
      </c>
      <c r="G255" s="352">
        <v>28</v>
      </c>
      <c r="H255" s="354">
        <f>(F255*43560*(G255/12))/27</f>
        <v>21457.333333333332</v>
      </c>
      <c r="I255" s="352">
        <v>69</v>
      </c>
      <c r="J255" s="352" t="s">
        <v>698</v>
      </c>
      <c r="K255" s="352" t="s">
        <v>698</v>
      </c>
      <c r="L255" s="352">
        <v>28</v>
      </c>
      <c r="M255" s="354">
        <f t="shared" si="0"/>
        <v>259746.66666666666</v>
      </c>
    </row>
    <row r="256" spans="1:13" x14ac:dyDescent="0.35">
      <c r="B256" s="235" t="s">
        <v>993</v>
      </c>
      <c r="C256" s="236">
        <f>SUM(C250:C255)</f>
        <v>118.0419</v>
      </c>
      <c r="D256" s="2"/>
      <c r="E256" s="374">
        <f>SUM(E250:E255)</f>
        <v>346011.3311111111</v>
      </c>
      <c r="F256" s="236">
        <f>SUM(F250:F255)</f>
        <v>10.174199999999999</v>
      </c>
      <c r="G256" s="2"/>
      <c r="H256" s="374">
        <f>SUM(H250:H255)</f>
        <v>33487.96</v>
      </c>
      <c r="I256" s="236">
        <f>SUM(I250:I255)</f>
        <v>160.57660000000001</v>
      </c>
      <c r="J256" s="2"/>
      <c r="K256" s="374">
        <f>SUM(K250:K255)</f>
        <v>18634.000000000004</v>
      </c>
      <c r="L256" s="2"/>
      <c r="M256" s="374">
        <f>SUM(M250:M255)</f>
        <v>702977.41066666669</v>
      </c>
    </row>
    <row r="258" spans="1:18" x14ac:dyDescent="0.35">
      <c r="C258" s="352" t="s">
        <v>517</v>
      </c>
      <c r="D258" s="352" t="s">
        <v>518</v>
      </c>
      <c r="E258" s="352" t="s">
        <v>639</v>
      </c>
      <c r="N258" s="51"/>
      <c r="O258" s="2"/>
    </row>
    <row r="259" spans="1:18" x14ac:dyDescent="0.35">
      <c r="C259" s="352" t="s">
        <v>1104</v>
      </c>
      <c r="D259" s="352" t="s">
        <v>1105</v>
      </c>
      <c r="E259" s="352" t="s">
        <v>4</v>
      </c>
      <c r="N259" s="51"/>
      <c r="O259" s="2"/>
      <c r="R259" s="76"/>
    </row>
    <row r="260" spans="1:18" x14ac:dyDescent="0.35">
      <c r="A260" t="s">
        <v>1137</v>
      </c>
      <c r="C260" s="360">
        <f>C256</f>
        <v>118.0419</v>
      </c>
      <c r="D260" s="360">
        <f>F256</f>
        <v>10.174199999999999</v>
      </c>
      <c r="E260" s="360">
        <f>I256</f>
        <v>160.57660000000001</v>
      </c>
    </row>
    <row r="261" spans="1:18" x14ac:dyDescent="0.35">
      <c r="A261" t="s">
        <v>1138</v>
      </c>
      <c r="C261" s="361">
        <f>E256</f>
        <v>346011.3311111111</v>
      </c>
      <c r="D261" s="362">
        <f>$H$256</f>
        <v>33487.96</v>
      </c>
      <c r="E261" s="361">
        <f>M256</f>
        <v>702977.41066666669</v>
      </c>
    </row>
    <row r="262" spans="1:18" x14ac:dyDescent="0.35">
      <c r="A262" t="s">
        <v>172</v>
      </c>
      <c r="C262" s="362">
        <f>C261*1.15</f>
        <v>397913.03077777772</v>
      </c>
      <c r="D262" s="362">
        <f>D261*1.15</f>
        <v>38511.153999999995</v>
      </c>
      <c r="E262" s="362">
        <f>E261*1.15</f>
        <v>808424.02226666664</v>
      </c>
    </row>
    <row r="263" spans="1:18" x14ac:dyDescent="0.35">
      <c r="A263" t="s">
        <v>1141</v>
      </c>
      <c r="C263" s="353">
        <v>3300</v>
      </c>
      <c r="D263" s="353">
        <v>3300</v>
      </c>
      <c r="E263" s="353">
        <v>3300</v>
      </c>
    </row>
    <row r="264" spans="1:18" x14ac:dyDescent="0.35">
      <c r="A264" t="s">
        <v>1113</v>
      </c>
      <c r="C264" s="362">
        <f>(C262*C263)/2000</f>
        <v>656556.50078333321</v>
      </c>
      <c r="D264" s="362">
        <f>(D262*D263)/2000</f>
        <v>63543.404099999992</v>
      </c>
      <c r="E264" s="362">
        <f>(E262*E263)/2000</f>
        <v>1333899.63674</v>
      </c>
    </row>
    <row r="265" spans="1:18" x14ac:dyDescent="0.35">
      <c r="A265" t="s">
        <v>1160</v>
      </c>
      <c r="C265" s="353">
        <v>13200</v>
      </c>
      <c r="D265" s="353">
        <v>14250</v>
      </c>
      <c r="E265" s="353">
        <v>19535</v>
      </c>
      <c r="F265" t="s">
        <v>1136</v>
      </c>
    </row>
    <row r="267" spans="1:18" x14ac:dyDescent="0.35">
      <c r="A267" t="s">
        <v>1139</v>
      </c>
      <c r="C267" s="353">
        <v>0</v>
      </c>
      <c r="D267" s="353">
        <v>0</v>
      </c>
      <c r="E267" s="353">
        <f>I254</f>
        <v>23.1</v>
      </c>
    </row>
    <row r="268" spans="1:18" x14ac:dyDescent="0.35">
      <c r="A268" t="s">
        <v>1140</v>
      </c>
      <c r="C268" s="353">
        <v>0</v>
      </c>
      <c r="D268" s="353">
        <v>0</v>
      </c>
      <c r="E268" s="361">
        <f>K256</f>
        <v>18634.000000000004</v>
      </c>
    </row>
    <row r="269" spans="1:18" ht="14.25" customHeight="1" x14ac:dyDescent="0.35">
      <c r="A269" t="s">
        <v>172</v>
      </c>
      <c r="C269" s="353">
        <f>C268*1.15</f>
        <v>0</v>
      </c>
      <c r="D269" s="353">
        <f>D268*1.15</f>
        <v>0</v>
      </c>
      <c r="E269" s="361">
        <f>E268*1.15</f>
        <v>21429.100000000002</v>
      </c>
    </row>
    <row r="270" spans="1:18" x14ac:dyDescent="0.35">
      <c r="A270" t="s">
        <v>1143</v>
      </c>
      <c r="C270" s="353">
        <v>2800</v>
      </c>
      <c r="D270" s="353">
        <v>2800</v>
      </c>
      <c r="E270" s="353">
        <v>2800</v>
      </c>
    </row>
    <row r="271" spans="1:18" x14ac:dyDescent="0.35">
      <c r="A271" t="s">
        <v>1142</v>
      </c>
      <c r="C271" s="362">
        <f>(C269*C270)/2000</f>
        <v>0</v>
      </c>
      <c r="D271" s="362">
        <f>(D269*D270)/2000</f>
        <v>0</v>
      </c>
      <c r="E271" s="362">
        <f>(E269*E270)/2000</f>
        <v>30000.740000000005</v>
      </c>
    </row>
    <row r="273" spans="1:5" x14ac:dyDescent="0.35">
      <c r="A273" s="138" t="s">
        <v>1153</v>
      </c>
    </row>
    <row r="274" spans="1:5" x14ac:dyDescent="0.35">
      <c r="A274" t="s">
        <v>175</v>
      </c>
      <c r="C274" s="2"/>
      <c r="D274" s="51"/>
      <c r="E274" s="23"/>
    </row>
    <row r="275" spans="1:5" x14ac:dyDescent="0.35">
      <c r="A275" s="60" t="s">
        <v>1144</v>
      </c>
    </row>
    <row r="276" spans="1:5" x14ac:dyDescent="0.35">
      <c r="A276" s="60"/>
    </row>
    <row r="277" spans="1:5" x14ac:dyDescent="0.35">
      <c r="A277" s="60" t="s">
        <v>212</v>
      </c>
      <c r="E277" s="25">
        <v>12</v>
      </c>
    </row>
    <row r="278" spans="1:5" x14ac:dyDescent="0.35">
      <c r="A278" s="60" t="s">
        <v>213</v>
      </c>
      <c r="E278" s="25">
        <v>20</v>
      </c>
    </row>
    <row r="280" spans="1:5" x14ac:dyDescent="0.35">
      <c r="C280" s="352" t="s">
        <v>517</v>
      </c>
      <c r="D280" s="352" t="s">
        <v>518</v>
      </c>
      <c r="E280" s="352" t="s">
        <v>639</v>
      </c>
    </row>
    <row r="281" spans="1:5" ht="15.5" x14ac:dyDescent="0.35">
      <c r="A281" s="52"/>
      <c r="C281" s="352" t="s">
        <v>1104</v>
      </c>
      <c r="D281" s="352" t="s">
        <v>1105</v>
      </c>
      <c r="E281" s="352" t="s">
        <v>4</v>
      </c>
    </row>
    <row r="282" spans="1:5" x14ac:dyDescent="0.35">
      <c r="A282" s="357" t="s">
        <v>183</v>
      </c>
    </row>
    <row r="283" spans="1:5" x14ac:dyDescent="0.35">
      <c r="A283" t="s">
        <v>184</v>
      </c>
      <c r="C283" s="353">
        <v>2.4500000000000002</v>
      </c>
      <c r="D283" s="353">
        <v>2.4500000000000002</v>
      </c>
      <c r="E283" s="353">
        <v>2.4500000000000002</v>
      </c>
    </row>
    <row r="284" spans="1:5" x14ac:dyDescent="0.35">
      <c r="A284" t="s">
        <v>185</v>
      </c>
      <c r="C284" s="360">
        <f>C265/((E277*5280)/60)</f>
        <v>12.5</v>
      </c>
      <c r="D284" s="360">
        <f>D265/((E277*5280)/60)</f>
        <v>13.494318181818182</v>
      </c>
      <c r="E284" s="360">
        <f>E265/((E277*5280)/60)</f>
        <v>18.499053030303031</v>
      </c>
    </row>
    <row r="285" spans="1:5" x14ac:dyDescent="0.35">
      <c r="A285" t="s">
        <v>186</v>
      </c>
      <c r="C285" s="353">
        <v>1.6</v>
      </c>
      <c r="D285" s="353">
        <v>1.6</v>
      </c>
      <c r="E285" s="353">
        <v>1.6</v>
      </c>
    </row>
    <row r="286" spans="1:5" x14ac:dyDescent="0.35">
      <c r="A286" t="s">
        <v>187</v>
      </c>
      <c r="C286" s="360">
        <f>C265/((E278*5280)/60)</f>
        <v>7.5</v>
      </c>
      <c r="D286" s="360">
        <f>D265/((E278*5280)/60)</f>
        <v>8.0965909090909083</v>
      </c>
      <c r="E286" s="360">
        <f>E265/((E278*5280)/60)</f>
        <v>11.099431818181818</v>
      </c>
    </row>
    <row r="287" spans="1:5" x14ac:dyDescent="0.35">
      <c r="A287" t="s">
        <v>188</v>
      </c>
      <c r="C287" s="364">
        <f>SUM(C283:C286)</f>
        <v>24.05</v>
      </c>
      <c r="D287" s="364">
        <f>SUM(D283:D286)</f>
        <v>25.640909090909091</v>
      </c>
      <c r="E287" s="364">
        <f>SUM(E283:E286)</f>
        <v>33.648484848484848</v>
      </c>
    </row>
    <row r="288" spans="1:5" x14ac:dyDescent="0.35">
      <c r="A288" t="s">
        <v>189</v>
      </c>
      <c r="C288" s="353">
        <v>0</v>
      </c>
      <c r="D288" s="353">
        <v>0</v>
      </c>
      <c r="E288" s="353">
        <v>0</v>
      </c>
    </row>
    <row r="289" spans="1:6" x14ac:dyDescent="0.35">
      <c r="A289" t="s">
        <v>190</v>
      </c>
      <c r="C289" s="353">
        <v>0</v>
      </c>
      <c r="D289" s="353">
        <v>0</v>
      </c>
      <c r="E289" s="353">
        <v>0</v>
      </c>
    </row>
    <row r="290" spans="1:6" x14ac:dyDescent="0.35">
      <c r="A290" t="s">
        <v>192</v>
      </c>
      <c r="C290" s="364">
        <f>SUM(C287:C289)</f>
        <v>24.05</v>
      </c>
      <c r="D290" s="364">
        <f>SUM(D287:D289)</f>
        <v>25.640909090909091</v>
      </c>
      <c r="E290" s="364">
        <f>SUM(E287:E289)</f>
        <v>33.648484848484848</v>
      </c>
    </row>
    <row r="291" spans="1:6" x14ac:dyDescent="0.35">
      <c r="A291" t="s">
        <v>193</v>
      </c>
      <c r="C291" s="364">
        <f>60/C290</f>
        <v>2.4948024948024949</v>
      </c>
      <c r="D291" s="364">
        <f>60/D290</f>
        <v>2.3400106364119839</v>
      </c>
      <c r="E291" s="364">
        <f>60/E290</f>
        <v>1.7831412103746398</v>
      </c>
    </row>
    <row r="292" spans="1:6" x14ac:dyDescent="0.35">
      <c r="A292" s="358" t="s">
        <v>191</v>
      </c>
      <c r="C292" s="367">
        <f>+C284+C285+C286</f>
        <v>21.6</v>
      </c>
      <c r="D292" s="367">
        <f>+D284+D285+D286</f>
        <v>23.190909090909088</v>
      </c>
      <c r="E292" s="367">
        <f>+E284+E285+E286</f>
        <v>31.198484848484853</v>
      </c>
    </row>
    <row r="293" spans="1:6" x14ac:dyDescent="0.35">
      <c r="A293" s="359" t="s">
        <v>230</v>
      </c>
      <c r="C293" s="368">
        <f>+C292/C283</f>
        <v>8.816326530612244</v>
      </c>
      <c r="D293" s="368">
        <f>+D292/D283</f>
        <v>9.465677179962892</v>
      </c>
      <c r="E293" s="368">
        <f>+E292/E283</f>
        <v>12.734075448361164</v>
      </c>
    </row>
    <row r="294" spans="1:6" x14ac:dyDescent="0.35">
      <c r="D294" s="55"/>
    </row>
    <row r="295" spans="1:6" x14ac:dyDescent="0.35">
      <c r="A295" t="s">
        <v>221</v>
      </c>
      <c r="C295" s="353">
        <v>77</v>
      </c>
      <c r="D295" s="366">
        <v>77</v>
      </c>
      <c r="E295" s="353">
        <v>77</v>
      </c>
    </row>
    <row r="296" spans="1:6" x14ac:dyDescent="0.35">
      <c r="A296" t="s">
        <v>224</v>
      </c>
      <c r="C296" s="401">
        <f>C291*C295</f>
        <v>192.0997920997921</v>
      </c>
      <c r="D296" s="401">
        <f>D291*D295</f>
        <v>180.18081900372277</v>
      </c>
      <c r="E296" s="401">
        <f>E291*E295</f>
        <v>137.30187319884726</v>
      </c>
    </row>
    <row r="298" spans="1:6" x14ac:dyDescent="0.35">
      <c r="A298" s="56" t="s">
        <v>222</v>
      </c>
      <c r="C298" s="353">
        <v>5</v>
      </c>
      <c r="D298" s="353">
        <v>5</v>
      </c>
      <c r="E298" s="353">
        <v>5</v>
      </c>
      <c r="F298" s="21">
        <f>D295/15</f>
        <v>5.1333333333333337</v>
      </c>
    </row>
    <row r="299" spans="1:6" x14ac:dyDescent="0.35">
      <c r="A299" t="s">
        <v>194</v>
      </c>
      <c r="C299" s="353">
        <v>0.7</v>
      </c>
      <c r="D299" s="353">
        <v>0.7</v>
      </c>
      <c r="E299" s="353">
        <v>0.7</v>
      </c>
    </row>
    <row r="300" spans="1:6" x14ac:dyDescent="0.35">
      <c r="A300" t="s">
        <v>195</v>
      </c>
      <c r="C300" s="353">
        <v>3.5</v>
      </c>
      <c r="D300" s="353">
        <f>D298*D299</f>
        <v>3.5</v>
      </c>
      <c r="E300" s="353">
        <f>E298*E299</f>
        <v>3.5</v>
      </c>
    </row>
    <row r="301" spans="1:6" x14ac:dyDescent="0.35">
      <c r="A301" t="s">
        <v>196</v>
      </c>
      <c r="C301" s="361">
        <f>C290/C300</f>
        <v>6.8714285714285719</v>
      </c>
      <c r="D301" s="361">
        <f>D290/D300</f>
        <v>7.325974025974026</v>
      </c>
      <c r="E301" s="361">
        <f>E290/E300</f>
        <v>9.6138528138528141</v>
      </c>
      <c r="F301" s="74" t="s">
        <v>223</v>
      </c>
    </row>
    <row r="303" spans="1:6" x14ac:dyDescent="0.35">
      <c r="A303" t="s">
        <v>197</v>
      </c>
      <c r="C303" s="402">
        <f>(C301*C295)/C290</f>
        <v>22</v>
      </c>
      <c r="D303" s="402">
        <f>(D301*D295)/D290</f>
        <v>22</v>
      </c>
      <c r="E303" s="402">
        <f>(E301*E295)/E290</f>
        <v>22</v>
      </c>
    </row>
    <row r="304" spans="1:6" x14ac:dyDescent="0.35">
      <c r="A304" t="s">
        <v>198</v>
      </c>
      <c r="C304" s="362">
        <f>C303*60</f>
        <v>1320</v>
      </c>
      <c r="D304" s="362">
        <f>D303*60</f>
        <v>1320</v>
      </c>
      <c r="E304" s="362">
        <f>E303*60</f>
        <v>1320</v>
      </c>
    </row>
    <row r="305" spans="1:8" x14ac:dyDescent="0.35">
      <c r="A305" t="s">
        <v>199</v>
      </c>
      <c r="C305" s="364">
        <v>0.83</v>
      </c>
      <c r="D305" s="364">
        <v>0.83</v>
      </c>
      <c r="E305" s="364">
        <v>0.83</v>
      </c>
    </row>
    <row r="306" spans="1:8" x14ac:dyDescent="0.35">
      <c r="A306" t="s">
        <v>200</v>
      </c>
      <c r="C306" s="353">
        <v>0.9</v>
      </c>
      <c r="D306" s="353">
        <v>0.9</v>
      </c>
      <c r="E306" s="353">
        <v>0.9</v>
      </c>
    </row>
    <row r="307" spans="1:8" x14ac:dyDescent="0.35">
      <c r="A307" t="s">
        <v>201</v>
      </c>
      <c r="C307" s="361">
        <f>C304*C305*C306</f>
        <v>986.04</v>
      </c>
      <c r="D307" s="361">
        <f>D304*D305*D306</f>
        <v>986.04</v>
      </c>
      <c r="E307" s="361">
        <f>E304*E305*E306</f>
        <v>986.04</v>
      </c>
    </row>
    <row r="308" spans="1:8" x14ac:dyDescent="0.35">
      <c r="A308" s="5" t="s">
        <v>202</v>
      </c>
      <c r="B308" s="5"/>
      <c r="C308" s="365">
        <f>$C$262/$C$307</f>
        <v>403.54654048291928</v>
      </c>
      <c r="D308" s="365">
        <f>$D$262/$D$307</f>
        <v>39.056381079875052</v>
      </c>
      <c r="E308" s="365">
        <f>$E$262/$E$307</f>
        <v>819.86939907779265</v>
      </c>
    </row>
    <row r="311" spans="1:8" x14ac:dyDescent="0.35">
      <c r="A311" s="375" t="s">
        <v>517</v>
      </c>
      <c r="B311" s="375" t="s">
        <v>1104</v>
      </c>
    </row>
    <row r="312" spans="1:8" x14ac:dyDescent="0.35">
      <c r="B312" s="352" t="s">
        <v>203</v>
      </c>
      <c r="C312" s="352" t="s">
        <v>92</v>
      </c>
      <c r="D312" s="369" t="s">
        <v>214</v>
      </c>
      <c r="E312" s="370" t="s">
        <v>204</v>
      </c>
      <c r="F312" s="377" t="s">
        <v>170</v>
      </c>
      <c r="G312" s="352" t="s">
        <v>205</v>
      </c>
      <c r="H312" s="352" t="s">
        <v>206</v>
      </c>
    </row>
    <row r="313" spans="1:8" x14ac:dyDescent="0.35">
      <c r="A313" t="s">
        <v>207</v>
      </c>
      <c r="B313" s="369">
        <v>1</v>
      </c>
      <c r="C313" s="352" t="s">
        <v>216</v>
      </c>
      <c r="D313" s="369">
        <f>'Rates 2020'!$J$27</f>
        <v>629.72</v>
      </c>
      <c r="E313" s="369">
        <f>B313*$C$308</f>
        <v>403.54654048291928</v>
      </c>
      <c r="F313" s="376">
        <f>D313*E313</f>
        <v>254121.32747290394</v>
      </c>
      <c r="G313" s="397">
        <f>F313/$C$264</f>
        <v>0.38705172695680184</v>
      </c>
      <c r="H313" s="355">
        <f>F313/$C$262</f>
        <v>0.63863534947872302</v>
      </c>
    </row>
    <row r="314" spans="1:8" x14ac:dyDescent="0.35">
      <c r="A314" t="s">
        <v>208</v>
      </c>
      <c r="B314" s="369">
        <f>C301</f>
        <v>6.8714285714285719</v>
      </c>
      <c r="C314" s="369" t="s">
        <v>217</v>
      </c>
      <c r="D314" s="369">
        <f>'Rates 2020'!$J$66</f>
        <v>468.39</v>
      </c>
      <c r="E314" s="369">
        <f>B314*$C$308</f>
        <v>2772.9412281754885</v>
      </c>
      <c r="F314" s="376">
        <f>D314*E314</f>
        <v>1298817.9418651171</v>
      </c>
      <c r="G314" s="397">
        <f>F314/$C$264</f>
        <v>1.9782272208340119</v>
      </c>
      <c r="H314" s="355">
        <f>F314/$C$262</f>
        <v>3.2640749143761196</v>
      </c>
    </row>
    <row r="315" spans="1:8" x14ac:dyDescent="0.35">
      <c r="A315" t="s">
        <v>209</v>
      </c>
      <c r="B315" s="372">
        <v>1</v>
      </c>
      <c r="C315" s="369" t="s">
        <v>218</v>
      </c>
      <c r="D315" s="373">
        <f>'Rates 2020'!$J$51</f>
        <v>194.65</v>
      </c>
      <c r="E315" s="369">
        <f>B315*$C$308</f>
        <v>403.54654048291928</v>
      </c>
      <c r="F315" s="376">
        <f>D315*E315</f>
        <v>78550.334105000235</v>
      </c>
      <c r="G315" s="397">
        <f>F315/$C$264</f>
        <v>0.11963986954859536</v>
      </c>
      <c r="H315" s="355">
        <f>F315/$C$262</f>
        <v>0.19740578475518233</v>
      </c>
    </row>
    <row r="316" spans="1:8" x14ac:dyDescent="0.35">
      <c r="A316" t="s">
        <v>210</v>
      </c>
      <c r="B316" s="372">
        <v>1</v>
      </c>
      <c r="C316" s="369" t="s">
        <v>98</v>
      </c>
      <c r="D316" s="373">
        <f>'Rates 2020'!$J$13</f>
        <v>332.61</v>
      </c>
      <c r="E316" s="369">
        <f>B316*$C$308</f>
        <v>403.54654048291928</v>
      </c>
      <c r="F316" s="376">
        <f>D316*E316</f>
        <v>134223.61483002378</v>
      </c>
      <c r="G316" s="397">
        <f>F316/$C$264</f>
        <v>0.20443574112796459</v>
      </c>
      <c r="H316" s="355">
        <f>F316/$C$262</f>
        <v>0.33731897286114154</v>
      </c>
    </row>
    <row r="317" spans="1:8" x14ac:dyDescent="0.35">
      <c r="A317" t="s">
        <v>210</v>
      </c>
      <c r="B317" s="369">
        <v>1</v>
      </c>
      <c r="C317" s="370" t="s">
        <v>219</v>
      </c>
      <c r="D317" s="373">
        <f>'Rates 2020'!$J$56</f>
        <v>105.45</v>
      </c>
      <c r="E317" s="369">
        <f>B317*$C$308</f>
        <v>403.54654048291928</v>
      </c>
      <c r="F317" s="376">
        <f>D317*E317</f>
        <v>42553.982693923841</v>
      </c>
      <c r="G317" s="397">
        <f>F317/$C$264</f>
        <v>6.4813892853323313E-2</v>
      </c>
      <c r="H317" s="355">
        <f>F317/$C$262</f>
        <v>0.10694292320798346</v>
      </c>
    </row>
    <row r="318" spans="1:8" x14ac:dyDescent="0.35">
      <c r="A318" t="s">
        <v>220</v>
      </c>
      <c r="B318" s="63">
        <f>SUM(B313:B317)</f>
        <v>10.871428571428572</v>
      </c>
      <c r="C318" s="63"/>
      <c r="D318" s="2"/>
      <c r="E318" s="63">
        <f>SUM(E313:E317)</f>
        <v>4387.1273901071654</v>
      </c>
      <c r="F318" s="385">
        <f>SUM(F313:F317)</f>
        <v>1808267.2009669689</v>
      </c>
      <c r="G318" s="398">
        <f>SUM(G313:G317)</f>
        <v>2.7541684513206968</v>
      </c>
      <c r="H318" s="65">
        <f>SUM(H313:H317)</f>
        <v>4.5443779446791499</v>
      </c>
    </row>
    <row r="319" spans="1:8" x14ac:dyDescent="0.35">
      <c r="F319" s="59"/>
      <c r="G319" s="399"/>
      <c r="H319" s="2"/>
    </row>
    <row r="320" spans="1:8" x14ac:dyDescent="0.35">
      <c r="A320" s="375" t="s">
        <v>518</v>
      </c>
      <c r="B320" s="375" t="s">
        <v>1105</v>
      </c>
      <c r="F320" s="59"/>
      <c r="G320" s="399"/>
      <c r="H320" s="2"/>
    </row>
    <row r="321" spans="1:8" x14ac:dyDescent="0.35">
      <c r="B321" s="352" t="s">
        <v>203</v>
      </c>
      <c r="C321" s="352" t="s">
        <v>92</v>
      </c>
      <c r="D321" s="369" t="s">
        <v>214</v>
      </c>
      <c r="E321" s="370" t="s">
        <v>204</v>
      </c>
      <c r="F321" s="377" t="s">
        <v>170</v>
      </c>
      <c r="G321" s="400" t="s">
        <v>205</v>
      </c>
      <c r="H321" s="352" t="s">
        <v>206</v>
      </c>
    </row>
    <row r="322" spans="1:8" x14ac:dyDescent="0.35">
      <c r="A322" t="s">
        <v>207</v>
      </c>
      <c r="B322" s="369">
        <v>1</v>
      </c>
      <c r="C322" s="352" t="s">
        <v>216</v>
      </c>
      <c r="D322" s="369">
        <f>'Rates 2020'!$J$27</f>
        <v>629.72</v>
      </c>
      <c r="E322" s="369">
        <f>B322*$D$308</f>
        <v>39.056381079875052</v>
      </c>
      <c r="F322" s="376">
        <f>D322*E322</f>
        <v>24594.584293618918</v>
      </c>
      <c r="G322" s="397">
        <f>F322/$D$264</f>
        <v>0.38705172695680184</v>
      </c>
      <c r="H322" s="355">
        <f>F322/$D$262</f>
        <v>0.63863534947872302</v>
      </c>
    </row>
    <row r="323" spans="1:8" x14ac:dyDescent="0.35">
      <c r="A323" t="s">
        <v>208</v>
      </c>
      <c r="B323" s="369">
        <f>D301</f>
        <v>7.325974025974026</v>
      </c>
      <c r="C323" s="369" t="s">
        <v>217</v>
      </c>
      <c r="D323" s="369">
        <f>'Rates 2020'!$J$66</f>
        <v>468.39</v>
      </c>
      <c r="E323" s="369">
        <f>B323*$D$308</f>
        <v>286.12603333970799</v>
      </c>
      <c r="F323" s="376">
        <f>D323*E323</f>
        <v>134018.57275598581</v>
      </c>
      <c r="G323" s="397">
        <f>F323/$D$264</f>
        <v>2.1090870823520427</v>
      </c>
      <c r="H323" s="355">
        <f>F323/$D$262</f>
        <v>3.4799936858808702</v>
      </c>
    </row>
    <row r="324" spans="1:8" x14ac:dyDescent="0.35">
      <c r="A324" t="s">
        <v>209</v>
      </c>
      <c r="B324" s="372">
        <v>1</v>
      </c>
      <c r="C324" s="369" t="s">
        <v>218</v>
      </c>
      <c r="D324" s="373">
        <f>'Rates 2020'!$J$51</f>
        <v>194.65</v>
      </c>
      <c r="E324" s="369">
        <f>B324*$D$308</f>
        <v>39.056381079875052</v>
      </c>
      <c r="F324" s="376">
        <f>D324*E324</f>
        <v>7602.324577197679</v>
      </c>
      <c r="G324" s="397">
        <f>F324/$D$264</f>
        <v>0.11963986954859536</v>
      </c>
      <c r="H324" s="355">
        <f>F324/$D$262</f>
        <v>0.19740578475518236</v>
      </c>
    </row>
    <row r="325" spans="1:8" x14ac:dyDescent="0.35">
      <c r="A325" t="s">
        <v>210</v>
      </c>
      <c r="B325" s="372">
        <v>1</v>
      </c>
      <c r="C325" s="369" t="s">
        <v>98</v>
      </c>
      <c r="D325" s="373">
        <f>'Rates 2020'!$J$13</f>
        <v>332.61</v>
      </c>
      <c r="E325" s="369">
        <f>B325*$D$308</f>
        <v>39.056381079875052</v>
      </c>
      <c r="F325" s="376">
        <f>D325*E325</f>
        <v>12990.542910977241</v>
      </c>
      <c r="G325" s="397">
        <f>F325/$D$264</f>
        <v>0.20443574112796459</v>
      </c>
      <c r="H325" s="355">
        <f>F325/$D$262</f>
        <v>0.33731897286114154</v>
      </c>
    </row>
    <row r="326" spans="1:8" x14ac:dyDescent="0.35">
      <c r="A326" t="s">
        <v>210</v>
      </c>
      <c r="B326" s="369">
        <v>1</v>
      </c>
      <c r="C326" s="370" t="s">
        <v>219</v>
      </c>
      <c r="D326" s="373">
        <f>'Rates 2020'!$J$56</f>
        <v>105.45</v>
      </c>
      <c r="E326" s="369">
        <f>B326*$D$308</f>
        <v>39.056381079875052</v>
      </c>
      <c r="F326" s="376">
        <f>D326*E326</f>
        <v>4118.4953848728246</v>
      </c>
      <c r="G326" s="397">
        <f>F326/$D$264</f>
        <v>6.4813892853323313E-2</v>
      </c>
      <c r="H326" s="355">
        <f>F326/$D$262</f>
        <v>0.10694292320798346</v>
      </c>
    </row>
    <row r="327" spans="1:8" x14ac:dyDescent="0.35">
      <c r="A327" t="s">
        <v>220</v>
      </c>
      <c r="B327" s="63">
        <f>SUM(B322:B326)</f>
        <v>11.325974025974027</v>
      </c>
      <c r="C327" s="63"/>
      <c r="D327" s="2"/>
      <c r="E327" s="63">
        <f>SUM(E322:E326)</f>
        <v>442.3515576592082</v>
      </c>
      <c r="F327" s="385">
        <f>SUM(F322:F326)</f>
        <v>183324.51992265246</v>
      </c>
      <c r="G327" s="398">
        <f>SUM(G322:G326)</f>
        <v>2.8850283128387275</v>
      </c>
      <c r="H327" s="65">
        <f>SUM(H322:H326)</f>
        <v>4.7602967161839</v>
      </c>
    </row>
    <row r="328" spans="1:8" x14ac:dyDescent="0.35">
      <c r="F328" s="59"/>
      <c r="G328" s="399"/>
      <c r="H328" s="2"/>
    </row>
    <row r="329" spans="1:8" x14ac:dyDescent="0.35">
      <c r="A329" s="375" t="s">
        <v>639</v>
      </c>
      <c r="B329" s="375" t="s">
        <v>4</v>
      </c>
      <c r="F329" s="59"/>
      <c r="G329" s="399"/>
      <c r="H329" s="2"/>
    </row>
    <row r="330" spans="1:8" x14ac:dyDescent="0.35">
      <c r="B330" s="352" t="s">
        <v>203</v>
      </c>
      <c r="C330" s="352" t="s">
        <v>92</v>
      </c>
      <c r="D330" s="369" t="s">
        <v>214</v>
      </c>
      <c r="E330" s="370" t="s">
        <v>204</v>
      </c>
      <c r="F330" s="377" t="s">
        <v>170</v>
      </c>
      <c r="G330" s="400" t="s">
        <v>205</v>
      </c>
      <c r="H330" s="352" t="s">
        <v>206</v>
      </c>
    </row>
    <row r="331" spans="1:8" x14ac:dyDescent="0.35">
      <c r="A331" t="s">
        <v>207</v>
      </c>
      <c r="B331" s="369">
        <v>1</v>
      </c>
      <c r="C331" s="352" t="s">
        <v>216</v>
      </c>
      <c r="D331" s="369">
        <f>'Rates 2020'!$J$27</f>
        <v>629.72</v>
      </c>
      <c r="E331" s="369">
        <f>B331*$E$308</f>
        <v>819.86939907779265</v>
      </c>
      <c r="F331" s="376">
        <f>D331*E331</f>
        <v>516288.15798726759</v>
      </c>
      <c r="G331" s="397">
        <f>F331/$E$264</f>
        <v>0.38705172695680179</v>
      </c>
      <c r="H331" s="355">
        <f>F331/$E$262</f>
        <v>0.63863534947872302</v>
      </c>
    </row>
    <row r="332" spans="1:8" x14ac:dyDescent="0.35">
      <c r="A332" t="s">
        <v>208</v>
      </c>
      <c r="B332" s="369">
        <f>E301</f>
        <v>9.6138528138528141</v>
      </c>
      <c r="C332" s="369" t="s">
        <v>217</v>
      </c>
      <c r="D332" s="369">
        <f>'Rates 2020'!$J$66</f>
        <v>468.39</v>
      </c>
      <c r="E332" s="369">
        <f>B332*$E$308</f>
        <v>7882.1037293158524</v>
      </c>
      <c r="F332" s="376">
        <f>D332*E332</f>
        <v>3691898.5657742522</v>
      </c>
      <c r="G332" s="397">
        <f>F332/$E$264</f>
        <v>2.7677483853261342</v>
      </c>
      <c r="H332" s="355">
        <f>F332/$E$262</f>
        <v>4.5667848357881216</v>
      </c>
    </row>
    <row r="333" spans="1:8" x14ac:dyDescent="0.35">
      <c r="A333" t="s">
        <v>209</v>
      </c>
      <c r="B333" s="372">
        <v>1</v>
      </c>
      <c r="C333" s="369" t="s">
        <v>218</v>
      </c>
      <c r="D333" s="373">
        <f>'Rates 2020'!$J$51</f>
        <v>194.65</v>
      </c>
      <c r="E333" s="369">
        <f>B333*$E$308</f>
        <v>819.86939907779265</v>
      </c>
      <c r="F333" s="376">
        <f>D333*E333</f>
        <v>159587.57853049235</v>
      </c>
      <c r="G333" s="397">
        <f>F333/$E$264</f>
        <v>0.11963986954859537</v>
      </c>
      <c r="H333" s="355">
        <f>F333/$E$262</f>
        <v>0.19740578475518236</v>
      </c>
    </row>
    <row r="334" spans="1:8" x14ac:dyDescent="0.35">
      <c r="A334" t="s">
        <v>210</v>
      </c>
      <c r="B334" s="372">
        <v>1</v>
      </c>
      <c r="C334" s="369" t="s">
        <v>98</v>
      </c>
      <c r="D334" s="373">
        <f>'Rates 2020'!$J$13</f>
        <v>332.61</v>
      </c>
      <c r="E334" s="369">
        <f>B334*$E$308</f>
        <v>819.86939907779265</v>
      </c>
      <c r="F334" s="376">
        <f>D334*E334</f>
        <v>272696.76082726463</v>
      </c>
      <c r="G334" s="397">
        <f>F334/$E$264</f>
        <v>0.20443574112796459</v>
      </c>
      <c r="H334" s="355">
        <f>F334/$E$262</f>
        <v>0.3373189728611416</v>
      </c>
    </row>
    <row r="335" spans="1:8" x14ac:dyDescent="0.35">
      <c r="A335" t="s">
        <v>210</v>
      </c>
      <c r="B335" s="369">
        <v>1</v>
      </c>
      <c r="C335" s="370" t="s">
        <v>219</v>
      </c>
      <c r="D335" s="373">
        <f>'Rates 2020'!$J$56</f>
        <v>105.45</v>
      </c>
      <c r="E335" s="369">
        <f>B335*$E$308</f>
        <v>819.86939907779265</v>
      </c>
      <c r="F335" s="376">
        <f>D335*E335</f>
        <v>86455.22813275324</v>
      </c>
      <c r="G335" s="397">
        <f>F335/$E$264</f>
        <v>6.4813892853323313E-2</v>
      </c>
      <c r="H335" s="355">
        <f>F335/$E$262</f>
        <v>0.10694292320798346</v>
      </c>
    </row>
    <row r="336" spans="1:8" x14ac:dyDescent="0.35">
      <c r="A336" t="s">
        <v>220</v>
      </c>
      <c r="B336" s="63">
        <f>SUM(B331:B335)</f>
        <v>13.613852813852814</v>
      </c>
      <c r="C336" s="63"/>
      <c r="D336" s="2"/>
      <c r="E336" s="63">
        <f>SUM(E331:E335)</f>
        <v>11161.581325627021</v>
      </c>
      <c r="F336" s="385">
        <f>SUM(F331:F335)</f>
        <v>4726926.2912520301</v>
      </c>
      <c r="G336" s="398">
        <f>SUM(G331:G335)</f>
        <v>3.543689615812819</v>
      </c>
      <c r="H336" s="65">
        <f>SUM(H331:H335)</f>
        <v>5.8470878660911518</v>
      </c>
    </row>
    <row r="339" spans="1:7" x14ac:dyDescent="0.35">
      <c r="A339" s="138" t="s">
        <v>1154</v>
      </c>
    </row>
    <row r="340" spans="1:7" x14ac:dyDescent="0.35">
      <c r="A340" s="60" t="s">
        <v>1180</v>
      </c>
    </row>
    <row r="341" spans="1:7" x14ac:dyDescent="0.35">
      <c r="A341" s="60"/>
      <c r="C341" s="352" t="s">
        <v>517</v>
      </c>
      <c r="D341" s="352" t="s">
        <v>518</v>
      </c>
      <c r="E341" s="352" t="s">
        <v>639</v>
      </c>
    </row>
    <row r="342" spans="1:7" x14ac:dyDescent="0.35">
      <c r="A342" s="60"/>
      <c r="C342" s="352" t="s">
        <v>1104</v>
      </c>
      <c r="D342" s="352" t="s">
        <v>1105</v>
      </c>
      <c r="E342" s="352" t="s">
        <v>4</v>
      </c>
    </row>
    <row r="343" spans="1:7" x14ac:dyDescent="0.35">
      <c r="A343" t="s">
        <v>226</v>
      </c>
      <c r="C343" s="394">
        <f>$C$262/$C$307</f>
        <v>403.54654048291928</v>
      </c>
      <c r="D343" s="394">
        <f>$D$262/$D$307</f>
        <v>39.056381079875052</v>
      </c>
      <c r="E343" s="394">
        <f>$E$262/$E$307</f>
        <v>819.86939907779265</v>
      </c>
      <c r="F343" s="24"/>
      <c r="G343" s="76"/>
    </row>
    <row r="344" spans="1:7" x14ac:dyDescent="0.35">
      <c r="A344" t="s">
        <v>1161</v>
      </c>
      <c r="C344" s="379">
        <f>C343*2</f>
        <v>807.09308096583857</v>
      </c>
      <c r="D344" s="379">
        <f>D343*2</f>
        <v>78.112762159750105</v>
      </c>
      <c r="E344" s="379">
        <f>E343*2</f>
        <v>1639.7387981555853</v>
      </c>
      <c r="G344" s="76"/>
    </row>
    <row r="345" spans="1:7" x14ac:dyDescent="0.35">
      <c r="A345" s="20" t="s">
        <v>1149</v>
      </c>
      <c r="B345" s="20"/>
      <c r="C345" s="390">
        <f>C344*'Rates 2020'!$J$11*2</f>
        <v>804397.3900754127</v>
      </c>
      <c r="D345" s="390">
        <f>D344*'Rates 2020'!$J$11*2</f>
        <v>77851.865534136537</v>
      </c>
      <c r="E345" s="390">
        <f>E344*'Rates 2020'!$J$11*2</f>
        <v>1634262.0705697455</v>
      </c>
      <c r="F345" s="24"/>
      <c r="G345" s="78" t="s">
        <v>1108</v>
      </c>
    </row>
    <row r="346" spans="1:7" x14ac:dyDescent="0.35">
      <c r="B346" s="25" t="s">
        <v>83</v>
      </c>
      <c r="C346" s="342">
        <f>C345</f>
        <v>804397.3900754127</v>
      </c>
      <c r="D346" s="342">
        <f>D345</f>
        <v>77851.865534136537</v>
      </c>
      <c r="E346" s="342">
        <f>E345</f>
        <v>1634262.0705697455</v>
      </c>
      <c r="G346" s="385">
        <f>SUM(C346:E346)</f>
        <v>2516511.3261792948</v>
      </c>
    </row>
    <row r="348" spans="1:7" x14ac:dyDescent="0.35">
      <c r="A348" s="138" t="s">
        <v>1156</v>
      </c>
    </row>
    <row r="349" spans="1:7" x14ac:dyDescent="0.35">
      <c r="A349" t="s">
        <v>321</v>
      </c>
    </row>
    <row r="350" spans="1:7" x14ac:dyDescent="0.35">
      <c r="A350" t="s">
        <v>322</v>
      </c>
    </row>
    <row r="351" spans="1:7" x14ac:dyDescent="0.35">
      <c r="A351" s="60" t="s">
        <v>1181</v>
      </c>
    </row>
    <row r="353" spans="1:5" x14ac:dyDescent="0.35">
      <c r="A353" t="s">
        <v>317</v>
      </c>
      <c r="C353" s="23">
        <f>1.5*5280</f>
        <v>7920</v>
      </c>
      <c r="D353" s="23" t="s">
        <v>319</v>
      </c>
    </row>
    <row r="355" spans="1:5" x14ac:dyDescent="0.35">
      <c r="A355" s="60" t="s">
        <v>323</v>
      </c>
      <c r="E355" s="25">
        <v>20</v>
      </c>
    </row>
    <row r="356" spans="1:5" x14ac:dyDescent="0.35">
      <c r="A356" s="60" t="s">
        <v>324</v>
      </c>
      <c r="E356" s="25">
        <v>20</v>
      </c>
    </row>
    <row r="358" spans="1:5" x14ac:dyDescent="0.35">
      <c r="C358" s="352" t="s">
        <v>639</v>
      </c>
    </row>
    <row r="359" spans="1:5" x14ac:dyDescent="0.35">
      <c r="A359" s="79" t="s">
        <v>183</v>
      </c>
      <c r="C359" s="352" t="s">
        <v>4</v>
      </c>
    </row>
    <row r="360" spans="1:5" x14ac:dyDescent="0.35">
      <c r="A360" t="s">
        <v>184</v>
      </c>
      <c r="C360">
        <v>2.4500000000000002</v>
      </c>
    </row>
    <row r="361" spans="1:5" x14ac:dyDescent="0.35">
      <c r="A361" t="s">
        <v>185</v>
      </c>
      <c r="C361" s="21">
        <f>C353/((E355*5280)/60)</f>
        <v>4.5</v>
      </c>
    </row>
    <row r="362" spans="1:5" x14ac:dyDescent="0.35">
      <c r="A362" t="s">
        <v>186</v>
      </c>
      <c r="C362">
        <v>1.6</v>
      </c>
    </row>
    <row r="363" spans="1:5" x14ac:dyDescent="0.35">
      <c r="A363" t="s">
        <v>187</v>
      </c>
      <c r="C363" s="54">
        <f>C353/((E356*5280)/60)</f>
        <v>4.5</v>
      </c>
    </row>
    <row r="364" spans="1:5" x14ac:dyDescent="0.35">
      <c r="A364" t="s">
        <v>188</v>
      </c>
      <c r="C364" s="55">
        <f>SUM(C360:C363)</f>
        <v>13.05</v>
      </c>
    </row>
    <row r="365" spans="1:5" x14ac:dyDescent="0.35">
      <c r="A365" t="s">
        <v>189</v>
      </c>
      <c r="C365">
        <v>0</v>
      </c>
    </row>
    <row r="366" spans="1:5" x14ac:dyDescent="0.35">
      <c r="A366" t="s">
        <v>190</v>
      </c>
      <c r="C366" s="20">
        <v>0</v>
      </c>
    </row>
    <row r="367" spans="1:5" x14ac:dyDescent="0.35">
      <c r="A367" t="s">
        <v>192</v>
      </c>
      <c r="C367" s="55">
        <f>SUM(C364:C366)</f>
        <v>13.05</v>
      </c>
    </row>
    <row r="368" spans="1:5" x14ac:dyDescent="0.35">
      <c r="A368" t="s">
        <v>193</v>
      </c>
      <c r="C368" s="55">
        <f>60/C367</f>
        <v>4.5977011494252871</v>
      </c>
    </row>
    <row r="369" spans="1:5" x14ac:dyDescent="0.35">
      <c r="A369" s="149" t="s">
        <v>191</v>
      </c>
      <c r="C369" s="227">
        <f>+C361+C362+C363</f>
        <v>10.6</v>
      </c>
    </row>
    <row r="370" spans="1:5" x14ac:dyDescent="0.35">
      <c r="A370" s="264" t="s">
        <v>230</v>
      </c>
      <c r="C370" s="128">
        <f>+C369/C360</f>
        <v>4.3265306122448974</v>
      </c>
    </row>
    <row r="371" spans="1:5" x14ac:dyDescent="0.35">
      <c r="C371" s="55"/>
    </row>
    <row r="372" spans="1:5" x14ac:dyDescent="0.35">
      <c r="A372" t="s">
        <v>325</v>
      </c>
      <c r="C372" s="25">
        <v>31</v>
      </c>
    </row>
    <row r="373" spans="1:5" x14ac:dyDescent="0.35">
      <c r="A373" t="s">
        <v>224</v>
      </c>
      <c r="C373" s="118">
        <f>C368*C372</f>
        <v>142.5287356321839</v>
      </c>
    </row>
    <row r="375" spans="1:5" x14ac:dyDescent="0.35">
      <c r="A375" s="60" t="s">
        <v>326</v>
      </c>
      <c r="C375">
        <v>4</v>
      </c>
      <c r="D375" s="51">
        <f>C372/7</f>
        <v>4.4285714285714288</v>
      </c>
    </row>
    <row r="376" spans="1:5" x14ac:dyDescent="0.35">
      <c r="A376" t="s">
        <v>194</v>
      </c>
      <c r="C376">
        <v>0.6</v>
      </c>
      <c r="D376" s="2"/>
    </row>
    <row r="377" spans="1:5" x14ac:dyDescent="0.35">
      <c r="A377" t="s">
        <v>195</v>
      </c>
      <c r="C377">
        <f>C375*C376</f>
        <v>2.4</v>
      </c>
      <c r="D377" s="2"/>
    </row>
    <row r="378" spans="1:5" x14ac:dyDescent="0.35">
      <c r="A378" t="s">
        <v>196</v>
      </c>
      <c r="C378" s="50">
        <f>C367/C377</f>
        <v>5.4375000000000009</v>
      </c>
      <c r="D378" s="337">
        <v>3</v>
      </c>
      <c r="E378" s="60" t="s">
        <v>701</v>
      </c>
    </row>
    <row r="380" spans="1:5" x14ac:dyDescent="0.35">
      <c r="A380" t="s">
        <v>197</v>
      </c>
      <c r="C380" s="222">
        <f>(D378*C372)/C367</f>
        <v>7.1264367816091951</v>
      </c>
    </row>
    <row r="381" spans="1:5" x14ac:dyDescent="0.35">
      <c r="A381" t="s">
        <v>198</v>
      </c>
      <c r="C381" s="557">
        <f>C380*60</f>
        <v>427.58620689655169</v>
      </c>
    </row>
    <row r="382" spans="1:5" x14ac:dyDescent="0.35">
      <c r="A382" t="s">
        <v>199</v>
      </c>
      <c r="C382" s="55">
        <v>0.83</v>
      </c>
    </row>
    <row r="383" spans="1:5" x14ac:dyDescent="0.35">
      <c r="A383" t="s">
        <v>200</v>
      </c>
      <c r="C383">
        <v>0.9</v>
      </c>
    </row>
    <row r="384" spans="1:5" x14ac:dyDescent="0.35">
      <c r="A384" t="s">
        <v>201</v>
      </c>
      <c r="C384" s="50">
        <f>C381*C382*C383</f>
        <v>319.40689655172412</v>
      </c>
    </row>
    <row r="385" spans="1:8" x14ac:dyDescent="0.35">
      <c r="A385" t="s">
        <v>202</v>
      </c>
      <c r="C385" s="363">
        <f>E269/C384</f>
        <v>67.090285874681527</v>
      </c>
    </row>
    <row r="386" spans="1:8" x14ac:dyDescent="0.35">
      <c r="C386" s="101"/>
    </row>
    <row r="387" spans="1:8" x14ac:dyDescent="0.35">
      <c r="A387" s="375" t="s">
        <v>639</v>
      </c>
      <c r="B387" s="382" t="s">
        <v>4</v>
      </c>
    </row>
    <row r="388" spans="1:8" x14ac:dyDescent="0.35">
      <c r="B388" s="352" t="s">
        <v>203</v>
      </c>
      <c r="C388" s="352" t="s">
        <v>92</v>
      </c>
      <c r="D388" s="369" t="s">
        <v>214</v>
      </c>
      <c r="E388" s="370" t="s">
        <v>204</v>
      </c>
      <c r="F388" s="355" t="s">
        <v>170</v>
      </c>
      <c r="G388" s="352" t="s">
        <v>205</v>
      </c>
      <c r="H388" s="352" t="s">
        <v>206</v>
      </c>
    </row>
    <row r="389" spans="1:8" x14ac:dyDescent="0.35">
      <c r="A389" t="s">
        <v>207</v>
      </c>
      <c r="B389" s="369">
        <v>1</v>
      </c>
      <c r="C389" s="352">
        <v>980</v>
      </c>
      <c r="D389" s="369">
        <f>'Rates 2020'!$J$21</f>
        <v>194.39</v>
      </c>
      <c r="E389" s="369">
        <f>B389*$C$385</f>
        <v>67.090285874681527</v>
      </c>
      <c r="F389" s="376">
        <f>D389*E389</f>
        <v>13041.680671179342</v>
      </c>
      <c r="G389" s="371">
        <f>F389/$E$271</f>
        <v>0.43471196614414642</v>
      </c>
      <c r="H389" s="355">
        <f>F389/$E$269</f>
        <v>0.60859675260180501</v>
      </c>
    </row>
    <row r="390" spans="1:8" x14ac:dyDescent="0.35">
      <c r="A390" t="s">
        <v>208</v>
      </c>
      <c r="B390" s="381">
        <v>3</v>
      </c>
      <c r="C390" s="369">
        <v>740</v>
      </c>
      <c r="D390" s="369">
        <f>'Rates 2020'!$J$70</f>
        <v>249.65</v>
      </c>
      <c r="E390" s="369">
        <f>B390*$C$385</f>
        <v>201.2708576240446</v>
      </c>
      <c r="F390" s="376">
        <f>D390*E390</f>
        <v>50247.269605842732</v>
      </c>
      <c r="G390" s="371">
        <f>F390/$E$271</f>
        <v>1.6748676734588122</v>
      </c>
      <c r="H390" s="355">
        <f>F390/$E$269</f>
        <v>2.3448147428423369</v>
      </c>
    </row>
    <row r="391" spans="1:8" x14ac:dyDescent="0.35">
      <c r="A391" t="s">
        <v>209</v>
      </c>
      <c r="B391" s="372">
        <v>1</v>
      </c>
      <c r="C391" s="369" t="s">
        <v>218</v>
      </c>
      <c r="D391" s="373">
        <f>'Rates 2020'!$J$51</f>
        <v>194.65</v>
      </c>
      <c r="E391" s="369">
        <f>B391*$C$385</f>
        <v>67.090285874681527</v>
      </c>
      <c r="F391" s="376">
        <f>D391*E391</f>
        <v>13059.124145506759</v>
      </c>
      <c r="G391" s="371">
        <f>F391/$E$271</f>
        <v>0.43529340094633523</v>
      </c>
      <c r="H391" s="355">
        <f>F391/$E$269</f>
        <v>0.60941076132486938</v>
      </c>
    </row>
    <row r="392" spans="1:8" x14ac:dyDescent="0.35">
      <c r="A392" t="s">
        <v>210</v>
      </c>
      <c r="B392" s="372">
        <v>1</v>
      </c>
      <c r="C392" s="369" t="s">
        <v>98</v>
      </c>
      <c r="D392" s="373">
        <f>'Rates 2020'!$J$13</f>
        <v>332.61</v>
      </c>
      <c r="E392" s="369">
        <f>B392*$C$385</f>
        <v>67.090285874681527</v>
      </c>
      <c r="F392" s="376">
        <f>D392*E392</f>
        <v>22314.899984777825</v>
      </c>
      <c r="G392" s="371">
        <f>F392/$E$271</f>
        <v>0.74381165213850797</v>
      </c>
      <c r="H392" s="355">
        <f>F392/$E$269</f>
        <v>1.0413363129939113</v>
      </c>
    </row>
    <row r="393" spans="1:8" x14ac:dyDescent="0.35">
      <c r="A393" t="s">
        <v>210</v>
      </c>
      <c r="B393" s="369">
        <v>1</v>
      </c>
      <c r="C393" s="370" t="s">
        <v>219</v>
      </c>
      <c r="D393" s="373">
        <f>'Rates 2020'!$J$56</f>
        <v>105.45</v>
      </c>
      <c r="E393" s="369">
        <f>B393*$C$385</f>
        <v>67.090285874681527</v>
      </c>
      <c r="F393" s="376">
        <f>D393*E393</f>
        <v>7074.6706454851674</v>
      </c>
      <c r="G393" s="371">
        <f>F393/$E$271</f>
        <v>0.23581653804156719</v>
      </c>
      <c r="H393" s="355">
        <f>F393/$E$269</f>
        <v>0.3301431532581941</v>
      </c>
    </row>
    <row r="394" spans="1:8" x14ac:dyDescent="0.35">
      <c r="A394" t="s">
        <v>220</v>
      </c>
      <c r="B394" s="63">
        <f>SUM(B389:B393)</f>
        <v>7</v>
      </c>
      <c r="C394" s="63"/>
      <c r="D394" s="2"/>
      <c r="E394" s="63">
        <f>SUM(E389:E393)</f>
        <v>469.63200112277065</v>
      </c>
      <c r="F394" s="385">
        <f>SUM(F389:F393)</f>
        <v>105737.64505279184</v>
      </c>
      <c r="G394" s="71">
        <f>SUM(G389:G393)</f>
        <v>3.5245012307293693</v>
      </c>
      <c r="H394" s="65">
        <f>SUM(H389:H393)</f>
        <v>4.9343017230211164</v>
      </c>
    </row>
    <row r="396" spans="1:8" x14ac:dyDescent="0.35">
      <c r="A396" s="198" t="s">
        <v>1162</v>
      </c>
    </row>
    <row r="397" spans="1:8" x14ac:dyDescent="0.35">
      <c r="A397" s="60" t="s">
        <v>1164</v>
      </c>
    </row>
    <row r="398" spans="1:8" x14ac:dyDescent="0.35">
      <c r="A398" s="60"/>
    </row>
    <row r="399" spans="1:8" x14ac:dyDescent="0.35">
      <c r="A399" s="60"/>
      <c r="C399" s="352" t="s">
        <v>517</v>
      </c>
      <c r="D399" s="352" t="s">
        <v>518</v>
      </c>
      <c r="E399" s="352" t="s">
        <v>639</v>
      </c>
    </row>
    <row r="400" spans="1:8" x14ac:dyDescent="0.35">
      <c r="A400" s="60"/>
      <c r="C400" s="352" t="s">
        <v>1104</v>
      </c>
      <c r="D400" s="352" t="s">
        <v>1105</v>
      </c>
      <c r="E400" s="352" t="s">
        <v>4</v>
      </c>
    </row>
    <row r="401" spans="1:7" x14ac:dyDescent="0.35">
      <c r="A401" t="s">
        <v>226</v>
      </c>
      <c r="C401" s="394" t="s">
        <v>698</v>
      </c>
      <c r="D401" s="394" t="s">
        <v>698</v>
      </c>
      <c r="E401" s="354">
        <f>C385</f>
        <v>67.090285874681527</v>
      </c>
      <c r="F401" s="24"/>
      <c r="G401" s="76"/>
    </row>
    <row r="402" spans="1:7" x14ac:dyDescent="0.35">
      <c r="A402" t="s">
        <v>1161</v>
      </c>
      <c r="C402" s="394" t="s">
        <v>698</v>
      </c>
      <c r="D402" s="394" t="s">
        <v>698</v>
      </c>
      <c r="E402" s="354">
        <f>E401*2</f>
        <v>134.18057174936305</v>
      </c>
      <c r="G402" s="76"/>
    </row>
    <row r="403" spans="1:7" x14ac:dyDescent="0.35">
      <c r="A403" s="20" t="s">
        <v>1149</v>
      </c>
      <c r="B403" s="20"/>
      <c r="C403" s="394" t="s">
        <v>698</v>
      </c>
      <c r="D403" s="394" t="s">
        <v>698</v>
      </c>
      <c r="E403" s="395">
        <f>'Rates 2020'!$J$13*E402</f>
        <v>44629.79996955565</v>
      </c>
      <c r="G403" s="24"/>
    </row>
    <row r="404" spans="1:7" x14ac:dyDescent="0.35">
      <c r="B404" s="25" t="s">
        <v>83</v>
      </c>
      <c r="C404" s="342"/>
      <c r="D404" s="342"/>
      <c r="E404" s="342">
        <f>E403</f>
        <v>44629.79996955565</v>
      </c>
    </row>
    <row r="405" spans="1:7" x14ac:dyDescent="0.35">
      <c r="B405" s="25"/>
      <c r="C405" s="342"/>
      <c r="D405" s="342"/>
      <c r="E405" s="342"/>
    </row>
    <row r="406" spans="1:7" x14ac:dyDescent="0.35">
      <c r="B406" s="224"/>
      <c r="C406" s="342"/>
    </row>
    <row r="407" spans="1:7" x14ac:dyDescent="0.35">
      <c r="B407" s="25"/>
      <c r="C407" s="352" t="s">
        <v>517</v>
      </c>
      <c r="D407" s="352" t="s">
        <v>518</v>
      </c>
      <c r="E407" s="352" t="s">
        <v>639</v>
      </c>
    </row>
    <row r="408" spans="1:7" x14ac:dyDescent="0.35">
      <c r="C408" s="352" t="s">
        <v>1104</v>
      </c>
      <c r="D408" s="352" t="s">
        <v>1105</v>
      </c>
      <c r="E408" s="352" t="s">
        <v>4</v>
      </c>
    </row>
    <row r="409" spans="1:7" x14ac:dyDescent="0.35">
      <c r="A409" s="121" t="s">
        <v>1163</v>
      </c>
      <c r="B409" s="121"/>
      <c r="C409" s="393">
        <f>F318+C346</f>
        <v>2612664.5910423817</v>
      </c>
      <c r="D409" s="386">
        <f>F327+D346</f>
        <v>261176.38545678899</v>
      </c>
      <c r="E409" s="386">
        <f>F336+E346+F394+E404</f>
        <v>6511555.8068441227</v>
      </c>
    </row>
    <row r="412" spans="1:7" x14ac:dyDescent="0.35">
      <c r="A412" s="121" t="s">
        <v>231</v>
      </c>
      <c r="B412" s="44"/>
    </row>
    <row r="413" spans="1:7" x14ac:dyDescent="0.35">
      <c r="A413" t="s">
        <v>160</v>
      </c>
    </row>
    <row r="414" spans="1:7" x14ac:dyDescent="0.35">
      <c r="A414" t="s">
        <v>232</v>
      </c>
    </row>
    <row r="415" spans="1:7" x14ac:dyDescent="0.35">
      <c r="A415" t="s">
        <v>233</v>
      </c>
    </row>
    <row r="416" spans="1:7" x14ac:dyDescent="0.35">
      <c r="A416" t="s">
        <v>308</v>
      </c>
    </row>
    <row r="417" spans="1:9" x14ac:dyDescent="0.35">
      <c r="A417" t="s">
        <v>310</v>
      </c>
      <c r="C417" s="60"/>
    </row>
    <row r="418" spans="1:9" x14ac:dyDescent="0.35">
      <c r="A418" t="s">
        <v>309</v>
      </c>
      <c r="C418" s="60"/>
    </row>
    <row r="419" spans="1:9" x14ac:dyDescent="0.35">
      <c r="A419" t="s">
        <v>234</v>
      </c>
    </row>
    <row r="420" spans="1:9" x14ac:dyDescent="0.35">
      <c r="C420" s="2" t="s">
        <v>517</v>
      </c>
      <c r="D420" s="2" t="s">
        <v>518</v>
      </c>
      <c r="E420" s="2" t="s">
        <v>639</v>
      </c>
    </row>
    <row r="421" spans="1:9" x14ac:dyDescent="0.35">
      <c r="C421" s="2" t="s">
        <v>1104</v>
      </c>
      <c r="D421" s="4" t="s">
        <v>1105</v>
      </c>
      <c r="E421" s="4" t="s">
        <v>4</v>
      </c>
    </row>
    <row r="422" spans="1:9" x14ac:dyDescent="0.35">
      <c r="B422" s="88" t="s">
        <v>235</v>
      </c>
      <c r="C422" s="90" t="s">
        <v>1159</v>
      </c>
      <c r="D422" s="90" t="s">
        <v>1159</v>
      </c>
      <c r="E422" s="90" t="s">
        <v>1159</v>
      </c>
      <c r="F422" s="90" t="s">
        <v>237</v>
      </c>
      <c r="G422" s="90" t="s">
        <v>238</v>
      </c>
      <c r="H422" s="90" t="s">
        <v>239</v>
      </c>
      <c r="I422" s="347"/>
    </row>
    <row r="423" spans="1:9" x14ac:dyDescent="0.35">
      <c r="B423" s="86" t="s">
        <v>241</v>
      </c>
      <c r="C423" s="103">
        <f>$C$262</f>
        <v>397913.03077777772</v>
      </c>
      <c r="D423" s="103">
        <f>D262</f>
        <v>38511.153999999995</v>
      </c>
      <c r="E423" s="103">
        <f>$E$262</f>
        <v>808424.02226666664</v>
      </c>
      <c r="F423" s="6">
        <v>2500</v>
      </c>
      <c r="G423" s="2">
        <v>0</v>
      </c>
      <c r="H423" s="2" t="s">
        <v>242</v>
      </c>
      <c r="I423" s="348"/>
    </row>
    <row r="424" spans="1:9" x14ac:dyDescent="0.35">
      <c r="B424" s="86" t="s">
        <v>243</v>
      </c>
      <c r="C424" s="103">
        <f>$C$262</f>
        <v>397913.03077777772</v>
      </c>
      <c r="D424" s="103">
        <f>D262</f>
        <v>38511.153999999995</v>
      </c>
      <c r="E424" s="103">
        <f>$E$262</f>
        <v>808424.02226666664</v>
      </c>
      <c r="F424" s="6">
        <v>30000</v>
      </c>
      <c r="G424" s="2">
        <f>200+25</f>
        <v>225</v>
      </c>
      <c r="H424" s="2">
        <v>10</v>
      </c>
      <c r="I424" s="348"/>
    </row>
    <row r="425" spans="1:9" x14ac:dyDescent="0.35">
      <c r="B425" s="86" t="s">
        <v>244</v>
      </c>
      <c r="C425" s="103">
        <f>$C$262</f>
        <v>397913.03077777772</v>
      </c>
      <c r="D425" s="103">
        <f>D262</f>
        <v>38511.153999999995</v>
      </c>
      <c r="E425" s="103">
        <f>$E$262</f>
        <v>808424.02226666664</v>
      </c>
      <c r="F425" s="6">
        <v>10000</v>
      </c>
      <c r="G425" s="2">
        <v>45</v>
      </c>
      <c r="H425" s="2">
        <v>10</v>
      </c>
      <c r="I425" s="348"/>
    </row>
    <row r="426" spans="1:9" ht="16" x14ac:dyDescent="0.5">
      <c r="B426" s="87" t="s">
        <v>245</v>
      </c>
      <c r="C426" s="349">
        <f>$C$262</f>
        <v>397913.03077777772</v>
      </c>
      <c r="D426" s="349">
        <f>D262</f>
        <v>38511.153999999995</v>
      </c>
      <c r="E426" s="349">
        <f>$E$262</f>
        <v>808424.02226666664</v>
      </c>
      <c r="F426" s="104">
        <v>2500</v>
      </c>
      <c r="G426" s="4">
        <v>15</v>
      </c>
      <c r="H426" s="4">
        <v>10</v>
      </c>
      <c r="I426" s="350"/>
    </row>
    <row r="427" spans="1:9" x14ac:dyDescent="0.35">
      <c r="B427" s="25" t="s">
        <v>1114</v>
      </c>
      <c r="C427" s="387">
        <f>((C424/F424)*(G424+H424))+((C425/F425)*(G425+H425))+((C426/F426)*(G426+H426))</f>
        <v>9284.6373848148141</v>
      </c>
      <c r="D427" s="387">
        <f>((D424/F424)*(G424+H424))+((D425/F425)*(G425+H425))+((D426/F426)*(G426+H426))</f>
        <v>898.59359333333305</v>
      </c>
      <c r="E427" s="387">
        <f>((E424/F424)*(G424+H424))+((E425/F425)*(G425+H425))+((E426/F426)*(G426+H426))</f>
        <v>18863.227186222222</v>
      </c>
      <c r="G427" s="83"/>
    </row>
    <row r="428" spans="1:9" x14ac:dyDescent="0.35">
      <c r="G428" s="83"/>
      <c r="H428" s="2"/>
      <c r="I428" s="6"/>
    </row>
    <row r="429" spans="1:9" x14ac:dyDescent="0.35">
      <c r="A429" t="s">
        <v>246</v>
      </c>
    </row>
    <row r="430" spans="1:9" x14ac:dyDescent="0.35">
      <c r="A430" t="s">
        <v>247</v>
      </c>
    </row>
    <row r="431" spans="1:9" x14ac:dyDescent="0.35">
      <c r="A431" s="93" t="s">
        <v>681</v>
      </c>
    </row>
    <row r="432" spans="1:9" x14ac:dyDescent="0.35">
      <c r="A432" s="93" t="s">
        <v>248</v>
      </c>
    </row>
    <row r="434" spans="1:5" x14ac:dyDescent="0.35">
      <c r="C434" s="352" t="s">
        <v>517</v>
      </c>
      <c r="D434" s="352" t="s">
        <v>518</v>
      </c>
      <c r="E434" s="352" t="s">
        <v>639</v>
      </c>
    </row>
    <row r="435" spans="1:5" x14ac:dyDescent="0.35">
      <c r="A435" t="s">
        <v>249</v>
      </c>
      <c r="C435" s="352" t="s">
        <v>1104</v>
      </c>
      <c r="D435" s="352" t="s">
        <v>1105</v>
      </c>
      <c r="E435" s="352" t="s">
        <v>4</v>
      </c>
    </row>
    <row r="436" spans="1:5" x14ac:dyDescent="0.35">
      <c r="A436" t="s">
        <v>1155</v>
      </c>
      <c r="C436" s="360">
        <f>C256</f>
        <v>118.0419</v>
      </c>
      <c r="D436" s="360">
        <f>F256</f>
        <v>10.174199999999999</v>
      </c>
      <c r="E436" s="360">
        <f>I256</f>
        <v>160.57660000000001</v>
      </c>
    </row>
    <row r="437" spans="1:5" x14ac:dyDescent="0.35">
      <c r="A437" t="s">
        <v>251</v>
      </c>
      <c r="C437" s="353">
        <v>1000</v>
      </c>
      <c r="D437" s="353">
        <v>1000</v>
      </c>
      <c r="E437" s="353">
        <v>1000</v>
      </c>
    </row>
    <row r="438" spans="1:5" x14ac:dyDescent="0.35">
      <c r="A438" t="s">
        <v>252</v>
      </c>
      <c r="C438" s="388">
        <v>25</v>
      </c>
      <c r="D438" s="388">
        <v>25</v>
      </c>
      <c r="E438" s="388">
        <v>25</v>
      </c>
    </row>
    <row r="439" spans="1:5" x14ac:dyDescent="0.35">
      <c r="A439" t="s">
        <v>253</v>
      </c>
      <c r="C439" s="389">
        <f>((C436*23*2000)/C437)*C438</f>
        <v>135748.185</v>
      </c>
      <c r="D439" s="389">
        <f>((D436*23*2000)/D437)*D438</f>
        <v>11700.33</v>
      </c>
      <c r="E439" s="389">
        <f>((E436*23*2000)/E437)*E438</f>
        <v>184663.09000000003</v>
      </c>
    </row>
    <row r="441" spans="1:5" x14ac:dyDescent="0.35">
      <c r="A441" t="s">
        <v>1183</v>
      </c>
    </row>
    <row r="442" spans="1:5" x14ac:dyDescent="0.35">
      <c r="A442" t="s">
        <v>272</v>
      </c>
    </row>
    <row r="443" spans="1:5" x14ac:dyDescent="0.35">
      <c r="A443" t="s">
        <v>254</v>
      </c>
    </row>
    <row r="444" spans="1:5" x14ac:dyDescent="0.35">
      <c r="A444" t="s">
        <v>255</v>
      </c>
    </row>
    <row r="445" spans="1:5" x14ac:dyDescent="0.35">
      <c r="A445" t="s">
        <v>256</v>
      </c>
    </row>
    <row r="447" spans="1:5" x14ac:dyDescent="0.35">
      <c r="C447" s="352" t="s">
        <v>517</v>
      </c>
      <c r="D447" s="352" t="s">
        <v>518</v>
      </c>
      <c r="E447" s="352" t="s">
        <v>639</v>
      </c>
    </row>
    <row r="448" spans="1:5" x14ac:dyDescent="0.35">
      <c r="C448" s="352" t="s">
        <v>1104</v>
      </c>
      <c r="D448" s="352" t="s">
        <v>1105</v>
      </c>
      <c r="E448" s="352" t="s">
        <v>4</v>
      </c>
    </row>
    <row r="449" spans="1:5" x14ac:dyDescent="0.35">
      <c r="A449" s="138" t="s">
        <v>1157</v>
      </c>
      <c r="E449" s="378"/>
    </row>
    <row r="450" spans="1:5" x14ac:dyDescent="0.35">
      <c r="A450" t="s">
        <v>258</v>
      </c>
      <c r="C450" s="353">
        <v>150</v>
      </c>
      <c r="D450" s="353">
        <v>150</v>
      </c>
      <c r="E450" s="353">
        <v>150</v>
      </c>
    </row>
    <row r="451" spans="1:5" x14ac:dyDescent="0.35">
      <c r="A451" t="s">
        <v>259</v>
      </c>
      <c r="C451" s="362">
        <f>C308</f>
        <v>403.54654048291928</v>
      </c>
      <c r="D451" s="362">
        <f>D308</f>
        <v>39.056381079875052</v>
      </c>
      <c r="E451" s="379">
        <f>E308</f>
        <v>819.86939907779265</v>
      </c>
    </row>
    <row r="452" spans="1:5" x14ac:dyDescent="0.35">
      <c r="A452" t="s">
        <v>260</v>
      </c>
      <c r="C452" s="391">
        <f>C450*C451</f>
        <v>60531.981072437891</v>
      </c>
      <c r="D452" s="391">
        <f>D450*D451</f>
        <v>5858.4571619812577</v>
      </c>
      <c r="E452" s="391">
        <f>E450*E451</f>
        <v>122980.4098616689</v>
      </c>
    </row>
    <row r="453" spans="1:5" x14ac:dyDescent="0.35">
      <c r="D453" s="26"/>
    </row>
    <row r="454" spans="1:5" x14ac:dyDescent="0.35">
      <c r="A454" s="138" t="s">
        <v>1158</v>
      </c>
    </row>
    <row r="455" spans="1:5" x14ac:dyDescent="0.35">
      <c r="A455" t="s">
        <v>262</v>
      </c>
      <c r="C455" s="353">
        <v>200</v>
      </c>
      <c r="D455" s="353">
        <v>200</v>
      </c>
      <c r="E455" s="353">
        <v>200</v>
      </c>
    </row>
    <row r="456" spans="1:5" x14ac:dyDescent="0.35">
      <c r="A456" t="s">
        <v>263</v>
      </c>
      <c r="C456" s="360">
        <f>(C451/10)/12</f>
        <v>3.3628878373576607</v>
      </c>
      <c r="D456" s="360">
        <f>(D451/10)/12</f>
        <v>0.32546984233229209</v>
      </c>
      <c r="E456" s="360">
        <f>(E451/10)/12</f>
        <v>6.832244992314938</v>
      </c>
    </row>
    <row r="457" spans="1:5" x14ac:dyDescent="0.35">
      <c r="A457" t="s">
        <v>264</v>
      </c>
      <c r="C457" s="392">
        <f>C455*C456</f>
        <v>672.57756747153212</v>
      </c>
      <c r="D457" s="391">
        <f>D455*D456</f>
        <v>65.093968466458421</v>
      </c>
      <c r="E457" s="392">
        <f>E455*E456</f>
        <v>1366.4489984629877</v>
      </c>
    </row>
    <row r="459" spans="1:5" x14ac:dyDescent="0.35">
      <c r="A459" t="s">
        <v>273</v>
      </c>
    </row>
    <row r="460" spans="1:5" x14ac:dyDescent="0.35">
      <c r="A460" t="s">
        <v>307</v>
      </c>
    </row>
    <row r="461" spans="1:5" x14ac:dyDescent="0.35">
      <c r="A461" t="s">
        <v>265</v>
      </c>
    </row>
    <row r="463" spans="1:5" x14ac:dyDescent="0.35">
      <c r="A463" t="s">
        <v>266</v>
      </c>
    </row>
    <row r="464" spans="1:5" x14ac:dyDescent="0.35">
      <c r="A464" t="s">
        <v>1111</v>
      </c>
      <c r="C464" s="360">
        <f>C256</f>
        <v>118.0419</v>
      </c>
      <c r="D464" s="360">
        <f>F256</f>
        <v>10.174199999999999</v>
      </c>
      <c r="E464" s="360">
        <f>I256</f>
        <v>160.57660000000001</v>
      </c>
    </row>
    <row r="465" spans="1:5" x14ac:dyDescent="0.35">
      <c r="A465" t="s">
        <v>267</v>
      </c>
      <c r="C465" s="353">
        <v>0.25</v>
      </c>
      <c r="D465" s="353">
        <v>0.25</v>
      </c>
      <c r="E465" s="353">
        <v>0.25</v>
      </c>
    </row>
    <row r="466" spans="1:5" x14ac:dyDescent="0.35">
      <c r="A466" t="s">
        <v>268</v>
      </c>
      <c r="C466" s="380">
        <f>C464/C465</f>
        <v>472.16759999999999</v>
      </c>
      <c r="D466" s="380">
        <f>D464/D465</f>
        <v>40.696799999999996</v>
      </c>
      <c r="E466" s="380">
        <f>E464/E465</f>
        <v>642.30640000000005</v>
      </c>
    </row>
    <row r="467" spans="1:5" x14ac:dyDescent="0.35">
      <c r="A467" t="s">
        <v>269</v>
      </c>
      <c r="C467" s="391">
        <f>C466*'Rates 2020'!$J$13*2</f>
        <v>314095.33087200002</v>
      </c>
      <c r="D467" s="391">
        <f>D466*'Rates 2020'!$J$13*2</f>
        <v>27072.325295999999</v>
      </c>
      <c r="E467" s="391">
        <f>E466*'Rates 2020'!$J$13*2</f>
        <v>427275.06340800005</v>
      </c>
    </row>
    <row r="469" spans="1:5" x14ac:dyDescent="0.35">
      <c r="A469" s="121" t="s">
        <v>270</v>
      </c>
      <c r="B469" s="121"/>
      <c r="C469" s="393">
        <f>C467+C457+C452+C439+C427</f>
        <v>520332.71189672424</v>
      </c>
      <c r="D469" s="393">
        <f>D467+D457+D452+D439+D427</f>
        <v>45594.800019781047</v>
      </c>
      <c r="E469" s="393">
        <f>E467+E457+E452+E439+E427</f>
        <v>755148.23945435428</v>
      </c>
    </row>
    <row r="472" spans="1:5" x14ac:dyDescent="0.35">
      <c r="A472" s="121" t="s">
        <v>274</v>
      </c>
      <c r="B472" s="121"/>
      <c r="E472" s="197"/>
    </row>
    <row r="473" spans="1:5" x14ac:dyDescent="0.35">
      <c r="A473" t="s">
        <v>160</v>
      </c>
      <c r="E473" s="46"/>
    </row>
    <row r="474" spans="1:5" s="60" customFormat="1" x14ac:dyDescent="0.35">
      <c r="A474" s="60" t="s">
        <v>886</v>
      </c>
      <c r="E474" s="46"/>
    </row>
    <row r="475" spans="1:5" x14ac:dyDescent="0.35">
      <c r="A475" t="s">
        <v>1409</v>
      </c>
      <c r="E475" s="46"/>
    </row>
    <row r="476" spans="1:5" x14ac:dyDescent="0.35">
      <c r="A476" t="s">
        <v>278</v>
      </c>
      <c r="E476" s="46"/>
    </row>
    <row r="477" spans="1:5" x14ac:dyDescent="0.35">
      <c r="E477" s="46"/>
    </row>
    <row r="478" spans="1:5" x14ac:dyDescent="0.35">
      <c r="C478" s="404" t="s">
        <v>517</v>
      </c>
      <c r="D478" s="404" t="s">
        <v>518</v>
      </c>
      <c r="E478" s="404" t="s">
        <v>639</v>
      </c>
    </row>
    <row r="479" spans="1:5" x14ac:dyDescent="0.35">
      <c r="C479" s="404" t="s">
        <v>1104</v>
      </c>
      <c r="D479" s="404" t="s">
        <v>1105</v>
      </c>
      <c r="E479" s="404" t="s">
        <v>4</v>
      </c>
    </row>
    <row r="480" spans="1:5" x14ac:dyDescent="0.35">
      <c r="A480" t="s">
        <v>1111</v>
      </c>
      <c r="C480" s="351">
        <f>C256</f>
        <v>118.0419</v>
      </c>
      <c r="D480" s="351">
        <f>F256</f>
        <v>10.174199999999999</v>
      </c>
      <c r="E480" s="351">
        <f>I256</f>
        <v>160.57660000000001</v>
      </c>
    </row>
    <row r="481" spans="1:5" x14ac:dyDescent="0.35">
      <c r="A481" t="s">
        <v>275</v>
      </c>
      <c r="C481" s="436">
        <v>1500</v>
      </c>
      <c r="D481" s="436">
        <v>1500</v>
      </c>
      <c r="E481" s="436">
        <v>1500</v>
      </c>
    </row>
    <row r="482" spans="1:5" x14ac:dyDescent="0.35">
      <c r="A482" t="s">
        <v>170</v>
      </c>
      <c r="C482" s="594">
        <f>C480*C481</f>
        <v>177062.85</v>
      </c>
      <c r="D482" s="594">
        <f>D480*D481</f>
        <v>15261.3</v>
      </c>
      <c r="E482" s="594">
        <f>E480*E481</f>
        <v>240864.90000000002</v>
      </c>
    </row>
    <row r="483" spans="1:5" x14ac:dyDescent="0.35">
      <c r="C483" s="5"/>
      <c r="D483" s="5"/>
      <c r="E483" s="46"/>
    </row>
    <row r="484" spans="1:5" x14ac:dyDescent="0.35">
      <c r="A484" s="121" t="s">
        <v>276</v>
      </c>
      <c r="B484" s="121"/>
      <c r="C484" s="393">
        <f>C482</f>
        <v>177062.85</v>
      </c>
      <c r="D484" s="383">
        <f>D482</f>
        <v>15261.3</v>
      </c>
      <c r="E484" s="383">
        <f>E482</f>
        <v>240864.90000000002</v>
      </c>
    </row>
    <row r="485" spans="1:5" x14ac:dyDescent="0.35">
      <c r="D485" s="346"/>
    </row>
    <row r="487" spans="1:5" x14ac:dyDescent="0.35">
      <c r="C487" s="233" t="s">
        <v>517</v>
      </c>
      <c r="D487" s="233" t="s">
        <v>518</v>
      </c>
      <c r="E487" s="233" t="s">
        <v>639</v>
      </c>
    </row>
    <row r="488" spans="1:5" x14ac:dyDescent="0.35">
      <c r="C488" s="233" t="s">
        <v>1104</v>
      </c>
      <c r="D488" s="233" t="s">
        <v>1105</v>
      </c>
      <c r="E488" s="233" t="s">
        <v>4</v>
      </c>
    </row>
    <row r="489" spans="1:5" s="5" customFormat="1" ht="18.5" x14ac:dyDescent="0.45">
      <c r="A489" s="125" t="s">
        <v>1499</v>
      </c>
      <c r="B489" s="125"/>
      <c r="C489" s="345">
        <f>C484+C469+C409+C234+C209+C186+D167</f>
        <v>4748476.4147857279</v>
      </c>
      <c r="D489" s="345">
        <f>D484+D469+D409+D234+D209+D186+E167</f>
        <v>414923.79553279298</v>
      </c>
      <c r="E489" s="345">
        <f>E484+E469+E409+E234+E209+E186+F167</f>
        <v>7713408.7014097236</v>
      </c>
    </row>
  </sheetData>
  <mergeCells count="4">
    <mergeCell ref="C115:D115"/>
    <mergeCell ref="G115:H115"/>
    <mergeCell ref="C96:D96"/>
    <mergeCell ref="G96:H96"/>
  </mergeCells>
  <pageMargins left="0.7" right="0.7" top="0.75" bottom="0.75" header="0.3" footer="0.3"/>
  <pageSetup orientation="portrait" r:id="rId1"/>
  <rowBreaks count="1" manualBreakCount="1">
    <brk id="46" max="16383"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499984740745262"/>
  </sheetPr>
  <dimension ref="A1:I310"/>
  <sheetViews>
    <sheetView zoomScale="85" zoomScaleNormal="85" workbookViewId="0">
      <selection activeCell="A273" sqref="A273"/>
    </sheetView>
  </sheetViews>
  <sheetFormatPr defaultRowHeight="14.5" x14ac:dyDescent="0.35"/>
  <cols>
    <col min="1" max="1" width="20.453125" customWidth="1"/>
    <col min="2" max="2" width="26.81640625" customWidth="1"/>
    <col min="3" max="3" width="22" customWidth="1"/>
    <col min="4" max="4" width="19.54296875" customWidth="1"/>
    <col min="5" max="5" width="19.1796875" customWidth="1"/>
    <col min="6" max="6" width="19.54296875" customWidth="1"/>
    <col min="7" max="7" width="14.1796875" customWidth="1"/>
    <col min="8" max="8" width="11.26953125" customWidth="1"/>
  </cols>
  <sheetData>
    <row r="1" spans="1:9" x14ac:dyDescent="0.35">
      <c r="A1" s="307" t="s">
        <v>0</v>
      </c>
    </row>
    <row r="2" spans="1:9" x14ac:dyDescent="0.35">
      <c r="A2" s="308" t="s">
        <v>1</v>
      </c>
    </row>
    <row r="3" spans="1:9" x14ac:dyDescent="0.35">
      <c r="A3" s="308" t="s">
        <v>971</v>
      </c>
    </row>
    <row r="4" spans="1:9" x14ac:dyDescent="0.35">
      <c r="A4" s="309" t="s">
        <v>1546</v>
      </c>
    </row>
    <row r="5" spans="1:9" ht="15" thickBot="1" x14ac:dyDescent="0.4">
      <c r="B5" s="311"/>
      <c r="C5" s="344"/>
      <c r="D5" s="5"/>
      <c r="E5" s="5"/>
      <c r="F5" s="5"/>
      <c r="G5" s="5"/>
    </row>
    <row r="6" spans="1:9" x14ac:dyDescent="0.35">
      <c r="A6" s="341" t="s">
        <v>652</v>
      </c>
      <c r="B6" s="8"/>
      <c r="C6" s="8"/>
      <c r="D6" s="8"/>
      <c r="E6" s="8"/>
      <c r="F6" s="8"/>
      <c r="G6" s="8"/>
      <c r="H6" s="8"/>
      <c r="I6" s="17"/>
    </row>
    <row r="7" spans="1:9" x14ac:dyDescent="0.35">
      <c r="A7" s="11"/>
      <c r="I7" s="18"/>
    </row>
    <row r="8" spans="1:9" x14ac:dyDescent="0.35">
      <c r="A8" s="11" t="s">
        <v>279</v>
      </c>
      <c r="B8" t="s">
        <v>331</v>
      </c>
      <c r="E8" s="123">
        <f>D46</f>
        <v>0</v>
      </c>
      <c r="F8" t="s">
        <v>393</v>
      </c>
      <c r="I8" s="18"/>
    </row>
    <row r="9" spans="1:9" x14ac:dyDescent="0.35">
      <c r="A9" s="11"/>
      <c r="E9" s="123"/>
      <c r="I9" s="18"/>
    </row>
    <row r="10" spans="1:9" x14ac:dyDescent="0.35">
      <c r="A10" s="11"/>
      <c r="B10" t="s">
        <v>332</v>
      </c>
      <c r="E10" s="123">
        <f>C59</f>
        <v>0</v>
      </c>
      <c r="F10" t="s">
        <v>393</v>
      </c>
      <c r="I10" s="18"/>
    </row>
    <row r="11" spans="1:9" x14ac:dyDescent="0.35">
      <c r="A11" s="11"/>
      <c r="I11" s="18"/>
    </row>
    <row r="12" spans="1:9" x14ac:dyDescent="0.35">
      <c r="A12" s="11"/>
      <c r="B12" t="s">
        <v>1198</v>
      </c>
      <c r="E12" s="123">
        <f>C61</f>
        <v>0</v>
      </c>
      <c r="F12" t="s">
        <v>1172</v>
      </c>
      <c r="I12" s="18"/>
    </row>
    <row r="13" spans="1:9" x14ac:dyDescent="0.35">
      <c r="A13" s="11"/>
      <c r="E13" s="109"/>
      <c r="I13" s="18"/>
    </row>
    <row r="14" spans="1:9" x14ac:dyDescent="0.35">
      <c r="A14" s="11"/>
      <c r="B14" t="s">
        <v>1199</v>
      </c>
      <c r="E14" s="109"/>
      <c r="I14" s="18"/>
    </row>
    <row r="15" spans="1:9" x14ac:dyDescent="0.35">
      <c r="A15" s="11"/>
      <c r="C15" t="s">
        <v>391</v>
      </c>
      <c r="E15" s="109">
        <f>D98</f>
        <v>500000</v>
      </c>
      <c r="I15" s="18"/>
    </row>
    <row r="16" spans="1:9" x14ac:dyDescent="0.35">
      <c r="A16" s="11"/>
      <c r="C16" t="s">
        <v>180</v>
      </c>
      <c r="E16" s="109">
        <f>D240</f>
        <v>16611882.635032527</v>
      </c>
      <c r="I16" s="18"/>
    </row>
    <row r="17" spans="1:9" x14ac:dyDescent="0.35">
      <c r="A17" s="11"/>
      <c r="C17" t="s">
        <v>277</v>
      </c>
      <c r="E17" s="109">
        <f>D295</f>
        <v>2476573.6210537623</v>
      </c>
      <c r="I17" s="18"/>
    </row>
    <row r="18" spans="1:9" x14ac:dyDescent="0.35">
      <c r="A18" s="11"/>
      <c r="C18" t="s">
        <v>274</v>
      </c>
      <c r="E18" s="108">
        <f>D307</f>
        <v>811500</v>
      </c>
      <c r="I18" s="18"/>
    </row>
    <row r="19" spans="1:9" x14ac:dyDescent="0.35">
      <c r="A19" s="11"/>
      <c r="E19" s="26">
        <f>SUM(E15:E18)</f>
        <v>20399956.25608629</v>
      </c>
      <c r="I19" s="18"/>
    </row>
    <row r="20" spans="1:9" x14ac:dyDescent="0.35">
      <c r="A20" s="11"/>
      <c r="I20" s="18"/>
    </row>
    <row r="21" spans="1:9" x14ac:dyDescent="0.35">
      <c r="A21" s="11"/>
      <c r="C21" s="5" t="s">
        <v>1218</v>
      </c>
      <c r="E21" s="342">
        <f>E19+E12+E10+E8</f>
        <v>20399956.25608629</v>
      </c>
      <c r="I21" s="18"/>
    </row>
    <row r="22" spans="1:9" ht="15" thickBot="1" x14ac:dyDescent="0.4">
      <c r="A22" s="13"/>
      <c r="B22" s="14"/>
      <c r="C22" s="409" t="s">
        <v>1193</v>
      </c>
      <c r="D22" s="409"/>
      <c r="E22" s="410">
        <f>478*500</f>
        <v>239000</v>
      </c>
      <c r="F22" s="14"/>
      <c r="G22" s="14"/>
      <c r="H22" s="14"/>
      <c r="I22" s="19"/>
    </row>
    <row r="24" spans="1:9" x14ac:dyDescent="0.35">
      <c r="A24" s="60"/>
      <c r="B24" s="48" t="s">
        <v>1022</v>
      </c>
      <c r="C24" s="60"/>
      <c r="D24" s="60"/>
      <c r="E24" s="60"/>
      <c r="F24" s="60"/>
      <c r="G24" s="60"/>
      <c r="H24" s="60"/>
    </row>
    <row r="25" spans="1:9" x14ac:dyDescent="0.35">
      <c r="A25" s="60"/>
      <c r="B25" s="433" t="s">
        <v>995</v>
      </c>
      <c r="C25" s="433" t="s">
        <v>1196</v>
      </c>
      <c r="D25" s="433" t="s">
        <v>1216</v>
      </c>
      <c r="E25" s="433" t="s">
        <v>1217</v>
      </c>
      <c r="F25" s="433" t="s">
        <v>1197</v>
      </c>
      <c r="G25" s="433" t="s">
        <v>992</v>
      </c>
      <c r="H25" s="60"/>
    </row>
    <row r="26" spans="1:9" x14ac:dyDescent="0.35">
      <c r="A26" s="60"/>
      <c r="B26" s="435" t="s">
        <v>1018</v>
      </c>
      <c r="C26" s="436">
        <v>541.10889731027089</v>
      </c>
      <c r="D26" s="436"/>
      <c r="E26" s="436"/>
      <c r="F26" s="436">
        <v>478.21650575691854</v>
      </c>
      <c r="G26" s="438">
        <v>1019.3254030671894</v>
      </c>
      <c r="H26" s="60"/>
    </row>
    <row r="27" spans="1:9" x14ac:dyDescent="0.35">
      <c r="A27" s="60"/>
      <c r="B27" s="224" t="s">
        <v>1109</v>
      </c>
      <c r="C27" s="128"/>
      <c r="D27" s="128"/>
      <c r="E27" s="128"/>
      <c r="F27" s="432">
        <f>478*500</f>
        <v>239000</v>
      </c>
      <c r="G27" s="128"/>
      <c r="H27" s="213"/>
    </row>
    <row r="28" spans="1:9" x14ac:dyDescent="0.35">
      <c r="A28" s="60"/>
      <c r="B28" s="224" t="s">
        <v>1110</v>
      </c>
      <c r="C28" s="128">
        <f>C26</f>
        <v>541.10889731027089</v>
      </c>
      <c r="D28" s="128"/>
      <c r="E28" s="128"/>
      <c r="F28" s="432"/>
      <c r="G28" s="128"/>
      <c r="H28" s="213"/>
    </row>
    <row r="31" spans="1:9" ht="18.5" x14ac:dyDescent="0.45">
      <c r="A31" s="126" t="s">
        <v>331</v>
      </c>
      <c r="B31" s="96"/>
      <c r="C31" s="95"/>
      <c r="D31" s="5"/>
      <c r="E31" s="5"/>
      <c r="F31" s="5"/>
      <c r="G31" s="5"/>
    </row>
    <row r="32" spans="1:9" ht="18.5" x14ac:dyDescent="0.45">
      <c r="A32" s="126" t="s">
        <v>332</v>
      </c>
      <c r="B32" s="96"/>
      <c r="C32" s="95"/>
      <c r="D32" s="5"/>
      <c r="E32" s="5"/>
      <c r="F32" s="5"/>
      <c r="G32" s="5"/>
    </row>
    <row r="33" spans="1:7" ht="18.5" x14ac:dyDescent="0.45">
      <c r="A33" s="126" t="s">
        <v>330</v>
      </c>
      <c r="B33" s="96"/>
      <c r="C33" s="95"/>
      <c r="D33" s="5"/>
      <c r="E33" s="5"/>
      <c r="F33" s="5"/>
      <c r="G33" s="5"/>
    </row>
    <row r="36" spans="1:7" ht="18.5" x14ac:dyDescent="0.45">
      <c r="A36" s="126" t="s">
        <v>331</v>
      </c>
      <c r="B36" s="95"/>
      <c r="C36" s="96"/>
    </row>
    <row r="37" spans="1:7" x14ac:dyDescent="0.35">
      <c r="A37" t="s">
        <v>160</v>
      </c>
    </row>
    <row r="38" spans="1:7" x14ac:dyDescent="0.35">
      <c r="A38" t="s">
        <v>342</v>
      </c>
    </row>
    <row r="39" spans="1:7" x14ac:dyDescent="0.35">
      <c r="A39" t="s">
        <v>336</v>
      </c>
    </row>
    <row r="40" spans="1:7" x14ac:dyDescent="0.35">
      <c r="A40" t="s">
        <v>337</v>
      </c>
    </row>
    <row r="41" spans="1:7" x14ac:dyDescent="0.35">
      <c r="A41" t="s">
        <v>384</v>
      </c>
    </row>
    <row r="42" spans="1:7" x14ac:dyDescent="0.35">
      <c r="A42" t="s">
        <v>514</v>
      </c>
    </row>
    <row r="43" spans="1:7" x14ac:dyDescent="0.35">
      <c r="A43" t="s">
        <v>385</v>
      </c>
    </row>
    <row r="44" spans="1:7" x14ac:dyDescent="0.35">
      <c r="A44" t="s">
        <v>333</v>
      </c>
    </row>
    <row r="46" spans="1:7" ht="18.5" x14ac:dyDescent="0.45">
      <c r="A46" s="126" t="s">
        <v>386</v>
      </c>
      <c r="B46" s="96"/>
      <c r="C46" s="96"/>
      <c r="D46" s="126">
        <v>0</v>
      </c>
    </row>
    <row r="49" spans="1:4" ht="18.5" x14ac:dyDescent="0.45">
      <c r="A49" s="126" t="s">
        <v>332</v>
      </c>
      <c r="B49" s="96"/>
      <c r="C49" s="96"/>
    </row>
    <row r="50" spans="1:4" x14ac:dyDescent="0.35">
      <c r="A50" t="s">
        <v>160</v>
      </c>
    </row>
    <row r="51" spans="1:4" x14ac:dyDescent="0.35">
      <c r="A51" t="s">
        <v>334</v>
      </c>
    </row>
    <row r="52" spans="1:4" x14ac:dyDescent="0.35">
      <c r="A52" t="s">
        <v>335</v>
      </c>
    </row>
    <row r="53" spans="1:4" x14ac:dyDescent="0.35">
      <c r="A53" t="s">
        <v>343</v>
      </c>
    </row>
    <row r="54" spans="1:4" x14ac:dyDescent="0.35">
      <c r="A54" t="s">
        <v>1173</v>
      </c>
    </row>
    <row r="55" spans="1:4" x14ac:dyDescent="0.35">
      <c r="A55" t="s">
        <v>341</v>
      </c>
    </row>
    <row r="56" spans="1:4" x14ac:dyDescent="0.35">
      <c r="A56" t="s">
        <v>382</v>
      </c>
    </row>
    <row r="57" spans="1:4" x14ac:dyDescent="0.35">
      <c r="A57" t="s">
        <v>383</v>
      </c>
    </row>
    <row r="59" spans="1:4" ht="18.5" x14ac:dyDescent="0.45">
      <c r="A59" s="126" t="s">
        <v>352</v>
      </c>
      <c r="B59" s="126"/>
      <c r="C59" s="126">
        <v>0</v>
      </c>
      <c r="D59" s="96"/>
    </row>
    <row r="62" spans="1:4" ht="18.5" x14ac:dyDescent="0.45">
      <c r="A62" s="126" t="s">
        <v>1198</v>
      </c>
      <c r="B62" s="125"/>
      <c r="C62" s="95"/>
      <c r="D62" s="95"/>
    </row>
    <row r="64" spans="1:4" x14ac:dyDescent="0.35">
      <c r="A64" t="s">
        <v>27</v>
      </c>
    </row>
    <row r="65" spans="1:8" x14ac:dyDescent="0.35">
      <c r="A65" t="s">
        <v>313</v>
      </c>
    </row>
    <row r="66" spans="1:8" x14ac:dyDescent="0.35">
      <c r="A66" t="s">
        <v>1175</v>
      </c>
    </row>
    <row r="68" spans="1:8" x14ac:dyDescent="0.35">
      <c r="A68" t="s">
        <v>353</v>
      </c>
    </row>
    <row r="69" spans="1:8" ht="29" x14ac:dyDescent="0.35">
      <c r="C69" s="2" t="s">
        <v>1176</v>
      </c>
      <c r="D69" s="3" t="s">
        <v>354</v>
      </c>
      <c r="E69" s="106" t="s">
        <v>314</v>
      </c>
      <c r="F69" s="106" t="s">
        <v>316</v>
      </c>
      <c r="G69" s="3" t="s">
        <v>315</v>
      </c>
    </row>
    <row r="70" spans="1:8" x14ac:dyDescent="0.35">
      <c r="A70" t="s">
        <v>1200</v>
      </c>
      <c r="B70" s="60"/>
      <c r="C70" s="403">
        <v>478</v>
      </c>
      <c r="D70" s="404">
        <f>28</f>
        <v>28</v>
      </c>
      <c r="E70" s="353"/>
      <c r="F70" s="353"/>
      <c r="G70" s="354">
        <f>(C70*43560*(D70/12))/27</f>
        <v>1799404.4444444445</v>
      </c>
    </row>
    <row r="71" spans="1:8" x14ac:dyDescent="0.35">
      <c r="A71" t="s">
        <v>1201</v>
      </c>
      <c r="B71" s="60"/>
      <c r="C71" s="403">
        <f>731*0.5</f>
        <v>365.5</v>
      </c>
      <c r="D71" s="404"/>
      <c r="E71" s="352">
        <v>6</v>
      </c>
      <c r="F71" s="362">
        <f>(C71*43560*(E71/12))/27</f>
        <v>294836.66666666669</v>
      </c>
      <c r="G71" s="354"/>
      <c r="H71" t="s">
        <v>684</v>
      </c>
    </row>
    <row r="72" spans="1:8" x14ac:dyDescent="0.35">
      <c r="B72" s="60"/>
      <c r="C72" s="225"/>
      <c r="D72" s="149"/>
      <c r="F72" s="23">
        <f>SUM(F71:F71)</f>
        <v>294836.66666666669</v>
      </c>
      <c r="G72" s="103">
        <f>SUM(G70:G70)</f>
        <v>1799404.4444444445</v>
      </c>
    </row>
    <row r="73" spans="1:8" x14ac:dyDescent="0.35">
      <c r="B73" s="60"/>
      <c r="C73" s="226" t="s">
        <v>1178</v>
      </c>
      <c r="D73" s="149"/>
      <c r="F73" s="23"/>
      <c r="G73" s="103"/>
    </row>
    <row r="74" spans="1:8" x14ac:dyDescent="0.35">
      <c r="C74" s="117"/>
      <c r="D74" s="2"/>
      <c r="F74" s="23"/>
      <c r="G74" s="103"/>
    </row>
    <row r="75" spans="1:8" x14ac:dyDescent="0.35">
      <c r="A75" t="s">
        <v>1202</v>
      </c>
      <c r="C75" s="117"/>
      <c r="D75" s="2"/>
      <c r="F75" s="23"/>
      <c r="G75" s="103"/>
    </row>
    <row r="76" spans="1:8" x14ac:dyDescent="0.35">
      <c r="A76" t="s">
        <v>1203</v>
      </c>
      <c r="C76" s="117"/>
      <c r="D76" s="2"/>
      <c r="F76" s="23"/>
      <c r="G76" s="103"/>
    </row>
    <row r="78" spans="1:8" x14ac:dyDescent="0.35">
      <c r="A78" t="s">
        <v>1204</v>
      </c>
    </row>
    <row r="79" spans="1:8" x14ac:dyDescent="0.35">
      <c r="A79" t="s">
        <v>1179</v>
      </c>
    </row>
    <row r="81" spans="1:5" ht="18.5" x14ac:dyDescent="0.45">
      <c r="A81" s="126" t="s">
        <v>1205</v>
      </c>
      <c r="B81" s="96"/>
      <c r="C81" s="96"/>
      <c r="D81" s="406">
        <f>478*500</f>
        <v>239000</v>
      </c>
      <c r="E81" s="224" t="s">
        <v>1109</v>
      </c>
    </row>
    <row r="84" spans="1:5" ht="18.5" x14ac:dyDescent="0.45">
      <c r="A84" s="126" t="s">
        <v>1324</v>
      </c>
      <c r="B84" s="126"/>
      <c r="C84" s="126"/>
    </row>
    <row r="86" spans="1:5" x14ac:dyDescent="0.35">
      <c r="A86" s="44" t="s">
        <v>1206</v>
      </c>
      <c r="B86" s="44"/>
      <c r="C86" s="44"/>
    </row>
    <row r="87" spans="1:5" x14ac:dyDescent="0.35">
      <c r="A87" t="s">
        <v>160</v>
      </c>
    </row>
    <row r="88" spans="1:5" x14ac:dyDescent="0.35">
      <c r="A88" t="s">
        <v>338</v>
      </c>
    </row>
    <row r="89" spans="1:5" x14ac:dyDescent="0.35">
      <c r="A89" t="s">
        <v>339</v>
      </c>
    </row>
    <row r="90" spans="1:5" x14ac:dyDescent="0.35">
      <c r="A90" t="s">
        <v>387</v>
      </c>
    </row>
    <row r="91" spans="1:5" x14ac:dyDescent="0.35">
      <c r="A91" t="s">
        <v>388</v>
      </c>
    </row>
    <row r="92" spans="1:5" x14ac:dyDescent="0.35">
      <c r="A92" t="s">
        <v>389</v>
      </c>
    </row>
    <row r="94" spans="1:5" x14ac:dyDescent="0.35">
      <c r="A94" t="s">
        <v>340</v>
      </c>
    </row>
    <row r="95" spans="1:5" x14ac:dyDescent="0.35">
      <c r="A95" t="s">
        <v>390</v>
      </c>
    </row>
    <row r="96" spans="1:5" x14ac:dyDescent="0.35">
      <c r="A96" t="s">
        <v>686</v>
      </c>
    </row>
    <row r="98" spans="1:8" x14ac:dyDescent="0.35">
      <c r="A98" s="44" t="s">
        <v>1207</v>
      </c>
      <c r="B98" s="44"/>
      <c r="C98" s="44"/>
      <c r="D98" s="122">
        <v>500000</v>
      </c>
    </row>
    <row r="101" spans="1:8" x14ac:dyDescent="0.35">
      <c r="A101" s="121" t="s">
        <v>1208</v>
      </c>
      <c r="B101" s="121"/>
      <c r="C101" s="121"/>
    </row>
    <row r="102" spans="1:8" x14ac:dyDescent="0.35">
      <c r="A102" t="s">
        <v>160</v>
      </c>
    </row>
    <row r="103" spans="1:8" x14ac:dyDescent="0.35">
      <c r="A103" t="s">
        <v>313</v>
      </c>
    </row>
    <row r="104" spans="1:8" x14ac:dyDescent="0.35">
      <c r="A104" t="s">
        <v>1175</v>
      </c>
    </row>
    <row r="106" spans="1:8" x14ac:dyDescent="0.35">
      <c r="A106" t="s">
        <v>1182</v>
      </c>
      <c r="D106" t="s">
        <v>378</v>
      </c>
    </row>
    <row r="107" spans="1:8" ht="29" x14ac:dyDescent="0.35">
      <c r="C107" s="2" t="s">
        <v>1176</v>
      </c>
      <c r="D107" s="3" t="s">
        <v>354</v>
      </c>
      <c r="E107" s="106" t="s">
        <v>314</v>
      </c>
      <c r="F107" s="106" t="s">
        <v>316</v>
      </c>
      <c r="G107" s="3" t="s">
        <v>315</v>
      </c>
    </row>
    <row r="108" spans="1:8" x14ac:dyDescent="0.35">
      <c r="A108" t="s">
        <v>1209</v>
      </c>
      <c r="B108" s="60"/>
      <c r="C108" s="403">
        <v>541</v>
      </c>
      <c r="D108" s="404">
        <f>28</f>
        <v>28</v>
      </c>
      <c r="E108" s="352"/>
      <c r="F108" s="352"/>
      <c r="G108" s="354">
        <f>(C108*43560*(D108/12))/27</f>
        <v>2036564.4444444445</v>
      </c>
    </row>
    <row r="109" spans="1:8" x14ac:dyDescent="0.35">
      <c r="A109" t="s">
        <v>1210</v>
      </c>
      <c r="B109" s="60"/>
      <c r="C109" s="403">
        <f>731*0.5</f>
        <v>365.5</v>
      </c>
      <c r="D109" s="404"/>
      <c r="E109" s="352">
        <v>6</v>
      </c>
      <c r="F109" s="354">
        <f>(C109*43560*(E109/12))/27</f>
        <v>294836.66666666669</v>
      </c>
      <c r="G109" s="354"/>
      <c r="H109" t="s">
        <v>684</v>
      </c>
    </row>
    <row r="110" spans="1:8" x14ac:dyDescent="0.35">
      <c r="B110" s="60"/>
      <c r="C110" s="226" t="s">
        <v>1177</v>
      </c>
      <c r="D110" s="149"/>
      <c r="F110" s="23">
        <f>SUM(F109:F109)</f>
        <v>294836.66666666669</v>
      </c>
      <c r="G110" s="103">
        <f>SUM(G108:G108)</f>
        <v>2036564.4444444445</v>
      </c>
    </row>
    <row r="111" spans="1:8" x14ac:dyDescent="0.35">
      <c r="B111" s="60"/>
      <c r="C111" s="60"/>
      <c r="D111" s="60"/>
    </row>
    <row r="112" spans="1:8" x14ac:dyDescent="0.35">
      <c r="A112" t="s">
        <v>1202</v>
      </c>
    </row>
    <row r="114" spans="1:5" x14ac:dyDescent="0.35">
      <c r="A114" t="s">
        <v>355</v>
      </c>
      <c r="D114" s="50">
        <f>C108</f>
        <v>541</v>
      </c>
    </row>
    <row r="115" spans="1:5" x14ac:dyDescent="0.35">
      <c r="A115" t="s">
        <v>356</v>
      </c>
      <c r="D115" s="23">
        <f>G110</f>
        <v>2036564.4444444445</v>
      </c>
    </row>
    <row r="116" spans="1:5" x14ac:dyDescent="0.35">
      <c r="A116" t="s">
        <v>172</v>
      </c>
      <c r="B116" s="2"/>
      <c r="C116" s="51"/>
      <c r="D116" s="23">
        <f>D115*1.15</f>
        <v>2342049.111111111</v>
      </c>
    </row>
    <row r="117" spans="1:5" x14ac:dyDescent="0.35">
      <c r="A117" t="s">
        <v>173</v>
      </c>
      <c r="D117" s="23">
        <v>3300</v>
      </c>
    </row>
    <row r="118" spans="1:5" x14ac:dyDescent="0.35">
      <c r="A118" t="s">
        <v>174</v>
      </c>
      <c r="D118" s="23">
        <f>(D116*D117)/2000</f>
        <v>3864381.0333333332</v>
      </c>
    </row>
    <row r="119" spans="1:5" x14ac:dyDescent="0.35">
      <c r="D119" s="23"/>
    </row>
    <row r="120" spans="1:5" x14ac:dyDescent="0.35">
      <c r="A120" t="s">
        <v>357</v>
      </c>
      <c r="D120" s="50">
        <f>C109</f>
        <v>365.5</v>
      </c>
    </row>
    <row r="121" spans="1:5" x14ac:dyDescent="0.35">
      <c r="A121" t="s">
        <v>329</v>
      </c>
      <c r="D121" s="23">
        <f>F110</f>
        <v>294836.66666666669</v>
      </c>
    </row>
    <row r="122" spans="1:5" x14ac:dyDescent="0.35">
      <c r="A122" s="60" t="s">
        <v>685</v>
      </c>
      <c r="B122" s="2"/>
      <c r="C122" s="51"/>
      <c r="D122" s="23">
        <f>D121*1</f>
        <v>294836.66666666669</v>
      </c>
      <c r="E122" s="60" t="s">
        <v>702</v>
      </c>
    </row>
    <row r="123" spans="1:5" x14ac:dyDescent="0.35">
      <c r="A123" t="s">
        <v>318</v>
      </c>
      <c r="D123" s="23">
        <v>2800</v>
      </c>
    </row>
    <row r="124" spans="1:5" x14ac:dyDescent="0.35">
      <c r="A124" t="s">
        <v>360</v>
      </c>
      <c r="D124" s="23">
        <f>(D122*D123)/2000</f>
        <v>412771.33333333337</v>
      </c>
    </row>
    <row r="125" spans="1:5" x14ac:dyDescent="0.35">
      <c r="D125" s="23"/>
    </row>
    <row r="126" spans="1:5" x14ac:dyDescent="0.35">
      <c r="A126" t="s">
        <v>545</v>
      </c>
      <c r="C126" s="2"/>
      <c r="D126" s="51"/>
      <c r="E126" s="23"/>
    </row>
    <row r="127" spans="1:5" x14ac:dyDescent="0.35">
      <c r="A127" t="s">
        <v>373</v>
      </c>
      <c r="C127" s="2"/>
      <c r="D127" s="51"/>
      <c r="E127" s="23"/>
    </row>
    <row r="128" spans="1:5" x14ac:dyDescent="0.35">
      <c r="A128" t="s">
        <v>374</v>
      </c>
      <c r="C128" s="2"/>
      <c r="D128" s="51"/>
      <c r="E128" s="23"/>
    </row>
    <row r="129" spans="1:5" x14ac:dyDescent="0.35">
      <c r="A129" t="s">
        <v>375</v>
      </c>
      <c r="C129" s="2"/>
      <c r="D129" s="51"/>
      <c r="E129" s="23"/>
    </row>
    <row r="130" spans="1:5" x14ac:dyDescent="0.35">
      <c r="A130" t="s">
        <v>376</v>
      </c>
      <c r="C130" s="2"/>
      <c r="D130" s="51"/>
      <c r="E130" s="23"/>
    </row>
    <row r="131" spans="1:5" x14ac:dyDescent="0.35">
      <c r="A131" t="s">
        <v>377</v>
      </c>
      <c r="C131" s="2"/>
      <c r="D131" s="51"/>
      <c r="E131" s="23"/>
    </row>
    <row r="132" spans="1:5" x14ac:dyDescent="0.35">
      <c r="A132" s="60" t="s">
        <v>674</v>
      </c>
      <c r="B132" s="107"/>
      <c r="C132" s="107"/>
      <c r="D132" s="107"/>
      <c r="E132" s="107"/>
    </row>
    <row r="133" spans="1:5" x14ac:dyDescent="0.35">
      <c r="A133" s="60" t="s">
        <v>703</v>
      </c>
      <c r="B133" s="107"/>
      <c r="C133" s="107"/>
      <c r="D133" s="107"/>
      <c r="E133" s="107"/>
    </row>
    <row r="135" spans="1:5" x14ac:dyDescent="0.35">
      <c r="A135" t="s">
        <v>311</v>
      </c>
      <c r="C135" s="23">
        <f>2.5*5280</f>
        <v>13200</v>
      </c>
      <c r="D135" s="23" t="s">
        <v>320</v>
      </c>
    </row>
    <row r="136" spans="1:5" x14ac:dyDescent="0.35">
      <c r="C136" s="23"/>
      <c r="D136" s="23"/>
    </row>
    <row r="137" spans="1:5" x14ac:dyDescent="0.35">
      <c r="A137" s="60" t="s">
        <v>211</v>
      </c>
    </row>
    <row r="138" spans="1:5" x14ac:dyDescent="0.35">
      <c r="A138" s="60" t="s">
        <v>212</v>
      </c>
      <c r="E138" s="25">
        <v>12</v>
      </c>
    </row>
    <row r="139" spans="1:5" x14ac:dyDescent="0.35">
      <c r="A139" s="60" t="s">
        <v>213</v>
      </c>
      <c r="E139" s="25">
        <v>20</v>
      </c>
    </row>
    <row r="140" spans="1:5" ht="15.5" x14ac:dyDescent="0.35">
      <c r="A140" s="52"/>
    </row>
    <row r="141" spans="1:5" x14ac:dyDescent="0.35">
      <c r="A141" s="53" t="s">
        <v>183</v>
      </c>
    </row>
    <row r="142" spans="1:5" x14ac:dyDescent="0.35">
      <c r="A142" t="s">
        <v>184</v>
      </c>
      <c r="C142">
        <v>2.4500000000000002</v>
      </c>
    </row>
    <row r="143" spans="1:5" x14ac:dyDescent="0.35">
      <c r="A143" t="s">
        <v>185</v>
      </c>
      <c r="C143" s="21">
        <f>C135/((E138*5280)/60)</f>
        <v>12.5</v>
      </c>
    </row>
    <row r="144" spans="1:5" x14ac:dyDescent="0.35">
      <c r="A144" t="s">
        <v>186</v>
      </c>
      <c r="C144">
        <v>1.6</v>
      </c>
    </row>
    <row r="145" spans="1:5" x14ac:dyDescent="0.35">
      <c r="A145" t="s">
        <v>187</v>
      </c>
      <c r="C145" s="54">
        <f>C135/((E139*5280)/60)</f>
        <v>7.5</v>
      </c>
    </row>
    <row r="146" spans="1:5" x14ac:dyDescent="0.35">
      <c r="A146" t="s">
        <v>188</v>
      </c>
      <c r="C146" s="55">
        <f>SUM(C142:C145)</f>
        <v>24.05</v>
      </c>
    </row>
    <row r="147" spans="1:5" x14ac:dyDescent="0.35">
      <c r="A147" t="s">
        <v>189</v>
      </c>
      <c r="C147">
        <v>0</v>
      </c>
    </row>
    <row r="148" spans="1:5" x14ac:dyDescent="0.35">
      <c r="A148" t="s">
        <v>190</v>
      </c>
      <c r="C148" s="20">
        <v>0</v>
      </c>
      <c r="D148" s="58" t="s">
        <v>191</v>
      </c>
      <c r="E148" s="73" t="s">
        <v>230</v>
      </c>
    </row>
    <row r="149" spans="1:5" x14ac:dyDescent="0.35">
      <c r="A149" t="s">
        <v>192</v>
      </c>
      <c r="C149" s="55">
        <f>SUM(C146:C148)</f>
        <v>24.05</v>
      </c>
      <c r="D149" s="75">
        <f>C143+C144+C145</f>
        <v>21.6</v>
      </c>
      <c r="E149" s="72">
        <f>D149/C142</f>
        <v>8.816326530612244</v>
      </c>
    </row>
    <row r="150" spans="1:5" x14ac:dyDescent="0.35">
      <c r="A150" t="s">
        <v>193</v>
      </c>
      <c r="C150" s="55">
        <f>60/C149</f>
        <v>2.4948024948024949</v>
      </c>
    </row>
    <row r="151" spans="1:5" x14ac:dyDescent="0.35">
      <c r="C151" s="55"/>
    </row>
    <row r="152" spans="1:5" x14ac:dyDescent="0.35">
      <c r="A152" t="s">
        <v>221</v>
      </c>
      <c r="C152" s="25">
        <v>77</v>
      </c>
    </row>
    <row r="153" spans="1:5" x14ac:dyDescent="0.35">
      <c r="A153" t="s">
        <v>224</v>
      </c>
      <c r="C153" s="118">
        <f>+C150*C152</f>
        <v>192.0997920997921</v>
      </c>
    </row>
    <row r="155" spans="1:5" x14ac:dyDescent="0.35">
      <c r="A155" s="60" t="s">
        <v>222</v>
      </c>
      <c r="C155">
        <v>5</v>
      </c>
      <c r="D155" s="21">
        <f>C152/15</f>
        <v>5.1333333333333337</v>
      </c>
    </row>
    <row r="156" spans="1:5" x14ac:dyDescent="0.35">
      <c r="A156" t="s">
        <v>194</v>
      </c>
      <c r="C156">
        <v>0.7</v>
      </c>
    </row>
    <row r="157" spans="1:5" x14ac:dyDescent="0.35">
      <c r="A157" t="s">
        <v>195</v>
      </c>
      <c r="C157">
        <f>C155*C156</f>
        <v>3.5</v>
      </c>
    </row>
    <row r="158" spans="1:5" x14ac:dyDescent="0.35">
      <c r="A158" t="s">
        <v>196</v>
      </c>
      <c r="C158" s="50">
        <f>C149/C157</f>
        <v>6.8714285714285719</v>
      </c>
      <c r="D158" s="74" t="s">
        <v>223</v>
      </c>
      <c r="E158" s="56"/>
    </row>
    <row r="160" spans="1:5" x14ac:dyDescent="0.35">
      <c r="A160" t="s">
        <v>197</v>
      </c>
      <c r="C160" s="57">
        <f>(C158*C152)/C149</f>
        <v>22</v>
      </c>
    </row>
    <row r="161" spans="1:8" x14ac:dyDescent="0.35">
      <c r="A161" t="s">
        <v>198</v>
      </c>
      <c r="C161" s="23">
        <f>C160*60</f>
        <v>1320</v>
      </c>
    </row>
    <row r="162" spans="1:8" x14ac:dyDescent="0.35">
      <c r="A162" t="s">
        <v>199</v>
      </c>
      <c r="C162" s="55">
        <v>0.83</v>
      </c>
    </row>
    <row r="163" spans="1:8" x14ac:dyDescent="0.35">
      <c r="A163" t="s">
        <v>200</v>
      </c>
      <c r="C163">
        <v>0.9</v>
      </c>
    </row>
    <row r="164" spans="1:8" x14ac:dyDescent="0.35">
      <c r="A164" t="s">
        <v>201</v>
      </c>
      <c r="C164" s="50">
        <f>C161*C162*C163</f>
        <v>986.04</v>
      </c>
    </row>
    <row r="165" spans="1:8" x14ac:dyDescent="0.35">
      <c r="A165" t="s">
        <v>202</v>
      </c>
      <c r="C165" s="408">
        <f>D116/C164</f>
        <v>2375.2070008428777</v>
      </c>
    </row>
    <row r="167" spans="1:8" x14ac:dyDescent="0.35">
      <c r="B167" s="2" t="s">
        <v>203</v>
      </c>
      <c r="C167" s="2" t="s">
        <v>92</v>
      </c>
      <c r="D167" s="63" t="s">
        <v>214</v>
      </c>
      <c r="E167" s="64" t="s">
        <v>204</v>
      </c>
      <c r="F167" s="65" t="s">
        <v>170</v>
      </c>
      <c r="G167" s="2" t="s">
        <v>205</v>
      </c>
      <c r="H167" s="2" t="s">
        <v>206</v>
      </c>
    </row>
    <row r="168" spans="1:8" x14ac:dyDescent="0.35">
      <c r="A168" t="s">
        <v>207</v>
      </c>
      <c r="B168" s="369">
        <v>1</v>
      </c>
      <c r="C168" s="352" t="s">
        <v>216</v>
      </c>
      <c r="D168" s="369">
        <f>'Rates 2020'!$J$27</f>
        <v>629.72</v>
      </c>
      <c r="E168" s="369">
        <f>B168*$C$165</f>
        <v>2375.2070008428777</v>
      </c>
      <c r="F168" s="376">
        <f>D168*E168</f>
        <v>1495715.3525707771</v>
      </c>
      <c r="G168" s="371">
        <f>F168/$D$118</f>
        <v>0.38705172695680184</v>
      </c>
      <c r="H168" s="355">
        <f>F168/$D$116</f>
        <v>0.63863534947872302</v>
      </c>
    </row>
    <row r="169" spans="1:8" x14ac:dyDescent="0.35">
      <c r="B169" s="369">
        <v>1</v>
      </c>
      <c r="C169" s="352" t="s">
        <v>379</v>
      </c>
      <c r="D169" s="369">
        <f>'Rates 2020'!$J$21</f>
        <v>194.39</v>
      </c>
      <c r="E169" s="369">
        <f t="shared" ref="E169:E174" si="0">B169*$C$165</f>
        <v>2375.2070008428777</v>
      </c>
      <c r="F169" s="376">
        <f t="shared" ref="F169:F174" si="1">D169*E169</f>
        <v>461716.48889384698</v>
      </c>
      <c r="G169" s="371">
        <f t="shared" ref="G169:G174" si="2">F169/$D$118</f>
        <v>0.11948006289006655</v>
      </c>
      <c r="H169" s="355">
        <f t="shared" ref="H169:H174" si="3">F169/$D$116</f>
        <v>0.1971421037686098</v>
      </c>
    </row>
    <row r="170" spans="1:8" x14ac:dyDescent="0.35">
      <c r="A170" t="s">
        <v>208</v>
      </c>
      <c r="B170" s="369">
        <f>C158</f>
        <v>6.8714285714285719</v>
      </c>
      <c r="C170" s="369" t="s">
        <v>217</v>
      </c>
      <c r="D170" s="369">
        <f>'Rates 2020'!$J$66</f>
        <v>468.39</v>
      </c>
      <c r="E170" s="369">
        <f t="shared" si="0"/>
        <v>16321.065248648918</v>
      </c>
      <c r="F170" s="376">
        <f t="shared" si="1"/>
        <v>7644623.7518146662</v>
      </c>
      <c r="G170" s="371">
        <f t="shared" si="2"/>
        <v>1.9782272208340117</v>
      </c>
      <c r="H170" s="355">
        <f t="shared" si="3"/>
        <v>3.2640749143761192</v>
      </c>
    </row>
    <row r="171" spans="1:8" x14ac:dyDescent="0.35">
      <c r="B171" s="369">
        <v>3</v>
      </c>
      <c r="C171" s="369">
        <v>740</v>
      </c>
      <c r="D171" s="369">
        <f>'Rates 2020'!$J$70</f>
        <v>249.65</v>
      </c>
      <c r="E171" s="369">
        <f t="shared" si="0"/>
        <v>7125.6210025286327</v>
      </c>
      <c r="F171" s="376">
        <f t="shared" si="1"/>
        <v>1778911.2832812732</v>
      </c>
      <c r="G171" s="371">
        <f t="shared" si="2"/>
        <v>0.46033537271215258</v>
      </c>
      <c r="H171" s="355">
        <f t="shared" si="3"/>
        <v>0.75955336497505177</v>
      </c>
    </row>
    <row r="172" spans="1:8" x14ac:dyDescent="0.35">
      <c r="A172" t="s">
        <v>209</v>
      </c>
      <c r="B172" s="372">
        <v>1</v>
      </c>
      <c r="C172" s="369" t="s">
        <v>218</v>
      </c>
      <c r="D172" s="373">
        <f>'Rates 2020'!$J$51</f>
        <v>194.65</v>
      </c>
      <c r="E172" s="369">
        <f t="shared" si="0"/>
        <v>2375.2070008428777</v>
      </c>
      <c r="F172" s="376">
        <f t="shared" si="1"/>
        <v>462334.04271406616</v>
      </c>
      <c r="G172" s="371">
        <f t="shared" si="2"/>
        <v>0.11963986954859537</v>
      </c>
      <c r="H172" s="355">
        <f t="shared" si="3"/>
        <v>0.19740578475518236</v>
      </c>
    </row>
    <row r="173" spans="1:8" x14ac:dyDescent="0.35">
      <c r="A173" t="s">
        <v>210</v>
      </c>
      <c r="B173" s="372">
        <v>1</v>
      </c>
      <c r="C173" s="369" t="s">
        <v>98</v>
      </c>
      <c r="D173" s="373">
        <f>'Rates 2020'!$J$13</f>
        <v>332.61</v>
      </c>
      <c r="E173" s="369">
        <f t="shared" si="0"/>
        <v>2375.2070008428777</v>
      </c>
      <c r="F173" s="376">
        <f t="shared" si="1"/>
        <v>790017.60055034957</v>
      </c>
      <c r="G173" s="371">
        <f t="shared" si="2"/>
        <v>0.20443574112796459</v>
      </c>
      <c r="H173" s="355">
        <f t="shared" si="3"/>
        <v>0.33731897286114154</v>
      </c>
    </row>
    <row r="174" spans="1:8" x14ac:dyDescent="0.35">
      <c r="A174" t="s">
        <v>210</v>
      </c>
      <c r="B174" s="369">
        <v>1</v>
      </c>
      <c r="C174" s="370" t="s">
        <v>219</v>
      </c>
      <c r="D174" s="373">
        <f>'Rates 2020'!$J$56</f>
        <v>105.45</v>
      </c>
      <c r="E174" s="369">
        <f t="shared" si="0"/>
        <v>2375.2070008428777</v>
      </c>
      <c r="F174" s="376">
        <f t="shared" si="1"/>
        <v>250465.57823888146</v>
      </c>
      <c r="G174" s="371">
        <f t="shared" si="2"/>
        <v>6.4813892853323299E-2</v>
      </c>
      <c r="H174" s="355">
        <f t="shared" si="3"/>
        <v>0.10694292320798346</v>
      </c>
    </row>
    <row r="175" spans="1:8" x14ac:dyDescent="0.35">
      <c r="A175" t="s">
        <v>220</v>
      </c>
      <c r="B175" s="63">
        <f>SUM(B168:B174)</f>
        <v>14.871428571428572</v>
      </c>
      <c r="C175" s="63"/>
      <c r="D175" s="2"/>
      <c r="E175" s="63">
        <f>SUM(E168:E174)</f>
        <v>35322.721255391938</v>
      </c>
      <c r="F175" s="385">
        <f>SUM(F168:F174)</f>
        <v>12883784.098063864</v>
      </c>
      <c r="G175" s="71">
        <f>SUM(G168:G174)</f>
        <v>3.3339838869229155</v>
      </c>
      <c r="H175" s="65">
        <f>SUM(H168:H174)</f>
        <v>5.5010734134228105</v>
      </c>
    </row>
    <row r="177" spans="1:5" x14ac:dyDescent="0.35">
      <c r="A177" s="79" t="s">
        <v>225</v>
      </c>
    </row>
    <row r="178" spans="1:5" x14ac:dyDescent="0.35">
      <c r="A178" t="s">
        <v>226</v>
      </c>
      <c r="C178" s="226">
        <f>C165</f>
        <v>2375.2070008428777</v>
      </c>
    </row>
    <row r="179" spans="1:5" x14ac:dyDescent="0.35">
      <c r="A179" t="s">
        <v>227</v>
      </c>
      <c r="B179" s="25" t="s">
        <v>228</v>
      </c>
      <c r="C179" s="228">
        <f>C178*'Rates 2020'!$J$11</f>
        <v>1183636.9047300313</v>
      </c>
    </row>
    <row r="180" spans="1:5" x14ac:dyDescent="0.35">
      <c r="B180" s="25" t="s">
        <v>83</v>
      </c>
      <c r="C180" s="385">
        <f>SUM(C179:C179)</f>
        <v>1183636.9047300313</v>
      </c>
    </row>
    <row r="182" spans="1:5" x14ac:dyDescent="0.35">
      <c r="A182" s="47" t="s">
        <v>1211</v>
      </c>
      <c r="B182" s="48"/>
      <c r="C182" s="405">
        <f>C180+F175</f>
        <v>14067421.002793895</v>
      </c>
    </row>
    <row r="185" spans="1:5" x14ac:dyDescent="0.35">
      <c r="A185" s="47" t="s">
        <v>1212</v>
      </c>
      <c r="B185" s="5"/>
    </row>
    <row r="186" spans="1:5" x14ac:dyDescent="0.35">
      <c r="A186" t="s">
        <v>321</v>
      </c>
    </row>
    <row r="187" spans="1:5" x14ac:dyDescent="0.35">
      <c r="A187" t="s">
        <v>322</v>
      </c>
    </row>
    <row r="188" spans="1:5" x14ac:dyDescent="0.35">
      <c r="A188" s="60" t="s">
        <v>327</v>
      </c>
    </row>
    <row r="189" spans="1:5" x14ac:dyDescent="0.35">
      <c r="A189" t="s">
        <v>317</v>
      </c>
      <c r="C189" s="101">
        <f>2*5280</f>
        <v>10560</v>
      </c>
      <c r="D189" s="23" t="s">
        <v>319</v>
      </c>
    </row>
    <row r="191" spans="1:5" x14ac:dyDescent="0.35">
      <c r="A191" s="60" t="s">
        <v>675</v>
      </c>
    </row>
    <row r="192" spans="1:5" x14ac:dyDescent="0.35">
      <c r="A192" s="60" t="s">
        <v>323</v>
      </c>
      <c r="E192" s="25">
        <v>20</v>
      </c>
    </row>
    <row r="193" spans="1:5" x14ac:dyDescent="0.35">
      <c r="A193" s="60" t="s">
        <v>324</v>
      </c>
      <c r="E193" s="25">
        <v>20</v>
      </c>
    </row>
    <row r="194" spans="1:5" ht="15.5" x14ac:dyDescent="0.35">
      <c r="A194" s="52"/>
    </row>
    <row r="195" spans="1:5" x14ac:dyDescent="0.35">
      <c r="A195" s="53" t="s">
        <v>183</v>
      </c>
    </row>
    <row r="196" spans="1:5" x14ac:dyDescent="0.35">
      <c r="A196" t="s">
        <v>184</v>
      </c>
      <c r="C196">
        <v>2.4500000000000002</v>
      </c>
    </row>
    <row r="197" spans="1:5" x14ac:dyDescent="0.35">
      <c r="A197" t="s">
        <v>185</v>
      </c>
      <c r="C197" s="21">
        <f>C189/((E192*5280)/60)</f>
        <v>6</v>
      </c>
    </row>
    <row r="198" spans="1:5" x14ac:dyDescent="0.35">
      <c r="A198" t="s">
        <v>186</v>
      </c>
      <c r="C198">
        <v>1.6</v>
      </c>
    </row>
    <row r="199" spans="1:5" x14ac:dyDescent="0.35">
      <c r="A199" t="s">
        <v>187</v>
      </c>
      <c r="C199" s="54">
        <f>C189/((E193*5280)/60)</f>
        <v>6</v>
      </c>
    </row>
    <row r="200" spans="1:5" x14ac:dyDescent="0.35">
      <c r="A200" t="s">
        <v>188</v>
      </c>
      <c r="C200" s="55">
        <f>SUM(C196:C199)</f>
        <v>16.049999999999997</v>
      </c>
    </row>
    <row r="201" spans="1:5" x14ac:dyDescent="0.35">
      <c r="A201" t="s">
        <v>189</v>
      </c>
      <c r="C201">
        <v>0</v>
      </c>
    </row>
    <row r="202" spans="1:5" x14ac:dyDescent="0.35">
      <c r="A202" t="s">
        <v>190</v>
      </c>
      <c r="C202" s="20">
        <v>0</v>
      </c>
      <c r="D202" s="58" t="s">
        <v>191</v>
      </c>
      <c r="E202" s="73" t="s">
        <v>230</v>
      </c>
    </row>
    <row r="203" spans="1:5" x14ac:dyDescent="0.35">
      <c r="A203" t="s">
        <v>192</v>
      </c>
      <c r="C203" s="55">
        <f>SUM(C200:C202)</f>
        <v>16.049999999999997</v>
      </c>
      <c r="D203" s="75">
        <f>C197+C198+C199</f>
        <v>13.6</v>
      </c>
      <c r="E203" s="72">
        <f>D203/C196</f>
        <v>5.5510204081632644</v>
      </c>
    </row>
    <row r="204" spans="1:5" x14ac:dyDescent="0.35">
      <c r="A204" t="s">
        <v>193</v>
      </c>
      <c r="C204" s="55">
        <f>60/C203</f>
        <v>3.7383177570093467</v>
      </c>
    </row>
    <row r="205" spans="1:5" x14ac:dyDescent="0.35">
      <c r="C205" s="55"/>
    </row>
    <row r="206" spans="1:5" x14ac:dyDescent="0.35">
      <c r="A206" t="s">
        <v>325</v>
      </c>
      <c r="C206" s="25">
        <v>31</v>
      </c>
    </row>
    <row r="207" spans="1:5" x14ac:dyDescent="0.35">
      <c r="A207" t="s">
        <v>224</v>
      </c>
      <c r="C207" s="118">
        <f>C204*C206</f>
        <v>115.88785046728975</v>
      </c>
    </row>
    <row r="209" spans="1:8" x14ac:dyDescent="0.35">
      <c r="A209" s="56" t="s">
        <v>326</v>
      </c>
      <c r="C209">
        <v>4</v>
      </c>
      <c r="D209" s="21">
        <f>C206/7</f>
        <v>4.4285714285714288</v>
      </c>
    </row>
    <row r="210" spans="1:8" x14ac:dyDescent="0.35">
      <c r="A210" t="s">
        <v>194</v>
      </c>
      <c r="C210">
        <v>0.6</v>
      </c>
    </row>
    <row r="211" spans="1:8" x14ac:dyDescent="0.35">
      <c r="A211" t="s">
        <v>195</v>
      </c>
      <c r="C211">
        <f>C209*C210</f>
        <v>2.4</v>
      </c>
    </row>
    <row r="212" spans="1:8" x14ac:dyDescent="0.35">
      <c r="A212" t="s">
        <v>196</v>
      </c>
      <c r="C212" s="50">
        <f>C203/C211</f>
        <v>6.6874999999999991</v>
      </c>
      <c r="D212" s="149">
        <v>3</v>
      </c>
      <c r="E212" s="60" t="s">
        <v>701</v>
      </c>
    </row>
    <row r="214" spans="1:8" x14ac:dyDescent="0.35">
      <c r="A214" t="s">
        <v>197</v>
      </c>
      <c r="C214" s="57">
        <f>(D212*C206)/C203</f>
        <v>5.7943925233644871</v>
      </c>
    </row>
    <row r="215" spans="1:8" x14ac:dyDescent="0.35">
      <c r="A215" t="s">
        <v>198</v>
      </c>
      <c r="C215" s="23">
        <f>C214*60</f>
        <v>347.6635514018692</v>
      </c>
    </row>
    <row r="216" spans="1:8" x14ac:dyDescent="0.35">
      <c r="A216" t="s">
        <v>199</v>
      </c>
      <c r="C216" s="55">
        <v>0.83</v>
      </c>
    </row>
    <row r="217" spans="1:8" x14ac:dyDescent="0.35">
      <c r="A217" t="s">
        <v>200</v>
      </c>
      <c r="C217">
        <v>0.9</v>
      </c>
    </row>
    <row r="218" spans="1:8" x14ac:dyDescent="0.35">
      <c r="A218" t="s">
        <v>201</v>
      </c>
      <c r="C218" s="50">
        <f>C215*C216*C217</f>
        <v>259.7046728971963</v>
      </c>
    </row>
    <row r="219" spans="1:8" x14ac:dyDescent="0.35">
      <c r="A219" t="s">
        <v>202</v>
      </c>
      <c r="C219" s="408">
        <f>D122/C218</f>
        <v>1135.2767101860247</v>
      </c>
    </row>
    <row r="221" spans="1:8" x14ac:dyDescent="0.35">
      <c r="B221" s="2" t="s">
        <v>203</v>
      </c>
      <c r="C221" s="2" t="s">
        <v>92</v>
      </c>
      <c r="D221" s="63" t="s">
        <v>214</v>
      </c>
      <c r="E221" s="64" t="s">
        <v>204</v>
      </c>
      <c r="F221" s="65" t="s">
        <v>170</v>
      </c>
      <c r="G221" s="2" t="s">
        <v>205</v>
      </c>
      <c r="H221" s="2" t="s">
        <v>206</v>
      </c>
    </row>
    <row r="222" spans="1:8" x14ac:dyDescent="0.35">
      <c r="A222" t="s">
        <v>207</v>
      </c>
      <c r="B222" s="369">
        <v>1</v>
      </c>
      <c r="C222" s="352">
        <v>980</v>
      </c>
      <c r="D222" s="369">
        <f>'Rates 2020'!$J$21</f>
        <v>194.39</v>
      </c>
      <c r="E222" s="369">
        <f>$C$219*B222</f>
        <v>1135.2767101860247</v>
      </c>
      <c r="F222" s="376">
        <f>E222*D222</f>
        <v>220686.43969306134</v>
      </c>
      <c r="G222" s="371">
        <f>F222/$D$124</f>
        <v>0.53464575146463977</v>
      </c>
      <c r="H222" s="355">
        <f>F222/$D$122</f>
        <v>0.74850405205049575</v>
      </c>
    </row>
    <row r="223" spans="1:8" x14ac:dyDescent="0.35">
      <c r="A223" t="s">
        <v>208</v>
      </c>
      <c r="B223" s="381">
        <f>D212</f>
        <v>3</v>
      </c>
      <c r="C223" s="369">
        <v>740</v>
      </c>
      <c r="D223" s="369">
        <f>'Rates 2020'!$J$70</f>
        <v>249.65</v>
      </c>
      <c r="E223" s="369">
        <f>$C$219*B223</f>
        <v>3405.8301305580744</v>
      </c>
      <c r="F223" s="376">
        <f>E223*D223</f>
        <v>850265.49209382327</v>
      </c>
      <c r="G223" s="371">
        <f>F223/$D$124</f>
        <v>2.0598947248286539</v>
      </c>
      <c r="H223" s="355">
        <f>F223/$D$122</f>
        <v>2.8838526147601153</v>
      </c>
    </row>
    <row r="224" spans="1:8" x14ac:dyDescent="0.35">
      <c r="A224" t="s">
        <v>209</v>
      </c>
      <c r="B224" s="372">
        <v>1</v>
      </c>
      <c r="C224" s="369" t="s">
        <v>218</v>
      </c>
      <c r="D224" s="373">
        <f>'Rates 2020'!$J$51</f>
        <v>194.65</v>
      </c>
      <c r="E224" s="369">
        <f>$C$219*B224</f>
        <v>1135.2767101860247</v>
      </c>
      <c r="F224" s="376">
        <f>E224*D224</f>
        <v>220981.61163770972</v>
      </c>
      <c r="G224" s="371">
        <f>F224/$D$124</f>
        <v>0.5353608494397456</v>
      </c>
      <c r="H224" s="355">
        <f>F224/$D$122</f>
        <v>0.7495051892156438</v>
      </c>
    </row>
    <row r="225" spans="1:8" x14ac:dyDescent="0.35">
      <c r="A225" t="s">
        <v>210</v>
      </c>
      <c r="B225" s="372">
        <v>1</v>
      </c>
      <c r="C225" s="369" t="s">
        <v>98</v>
      </c>
      <c r="D225" s="373">
        <f>'Rates 2020'!$J$13</f>
        <v>332.61</v>
      </c>
      <c r="E225" s="369">
        <f>$C$219*B225</f>
        <v>1135.2767101860247</v>
      </c>
      <c r="F225" s="376">
        <f>E225*D225</f>
        <v>377604.3865749737</v>
      </c>
      <c r="G225" s="371">
        <f>F225/$D$124</f>
        <v>0.91480283653816474</v>
      </c>
      <c r="H225" s="355">
        <f>F225/$D$122</f>
        <v>1.2807239711534308</v>
      </c>
    </row>
    <row r="226" spans="1:8" x14ac:dyDescent="0.35">
      <c r="A226" t="s">
        <v>210</v>
      </c>
      <c r="B226" s="369">
        <v>1</v>
      </c>
      <c r="C226" s="370" t="s">
        <v>219</v>
      </c>
      <c r="D226" s="373">
        <f>'Rates 2020'!$J$56</f>
        <v>105.45</v>
      </c>
      <c r="E226" s="369">
        <f>$C$219*B226</f>
        <v>1135.2767101860247</v>
      </c>
      <c r="F226" s="376">
        <f>E226*D226</f>
        <v>119714.92908911631</v>
      </c>
      <c r="G226" s="371">
        <f>F226/$D$124</f>
        <v>0.29002723644192741</v>
      </c>
      <c r="H226" s="355">
        <f>F226/$D$122</f>
        <v>0.4060381310186984</v>
      </c>
    </row>
    <row r="227" spans="1:8" x14ac:dyDescent="0.35">
      <c r="A227" t="s">
        <v>220</v>
      </c>
      <c r="B227" s="63">
        <f>SUM(B222:B226)</f>
        <v>7</v>
      </c>
      <c r="C227" s="63"/>
      <c r="D227" s="2"/>
      <c r="E227" s="63">
        <f>SUM(E222:E226)</f>
        <v>7946.9369713021724</v>
      </c>
      <c r="F227" s="385">
        <f>SUM(F222:F226)</f>
        <v>1789252.8590886844</v>
      </c>
      <c r="G227" s="71">
        <f>SUM(G222:G226)</f>
        <v>4.3347313987131315</v>
      </c>
      <c r="H227" s="65">
        <f>SUM(H222:H226)</f>
        <v>6.0686239581983843</v>
      </c>
    </row>
    <row r="229" spans="1:8" x14ac:dyDescent="0.35">
      <c r="A229" s="79" t="s">
        <v>687</v>
      </c>
    </row>
    <row r="230" spans="1:8" x14ac:dyDescent="0.35">
      <c r="A230" s="60" t="s">
        <v>327</v>
      </c>
    </row>
    <row r="231" spans="1:8" x14ac:dyDescent="0.35">
      <c r="A231" t="s">
        <v>226</v>
      </c>
      <c r="C231" s="76">
        <f>C219</f>
        <v>1135.2767101860247</v>
      </c>
    </row>
    <row r="232" spans="1:8" x14ac:dyDescent="0.35">
      <c r="A232" t="s">
        <v>167</v>
      </c>
      <c r="C232" s="76">
        <f>C231*2</f>
        <v>2270.5534203720495</v>
      </c>
    </row>
    <row r="233" spans="1:8" x14ac:dyDescent="0.35">
      <c r="A233" t="s">
        <v>227</v>
      </c>
      <c r="B233" s="407" t="s">
        <v>328</v>
      </c>
      <c r="C233" s="228">
        <f>'Rates 2020'!$J$13*C232</f>
        <v>755208.7731499474</v>
      </c>
    </row>
    <row r="234" spans="1:8" x14ac:dyDescent="0.35">
      <c r="B234" s="25" t="s">
        <v>83</v>
      </c>
      <c r="C234" s="77">
        <f>SUM(C233:C233)</f>
        <v>755208.7731499474</v>
      </c>
    </row>
    <row r="236" spans="1:8" x14ac:dyDescent="0.35">
      <c r="A236" s="47" t="s">
        <v>1213</v>
      </c>
      <c r="B236" s="48"/>
      <c r="C236" s="405">
        <f>C234+F227</f>
        <v>2544461.6322386321</v>
      </c>
    </row>
    <row r="240" spans="1:8" x14ac:dyDescent="0.35">
      <c r="A240" s="121" t="s">
        <v>1214</v>
      </c>
      <c r="B240" s="121"/>
      <c r="C240" s="121"/>
      <c r="D240" s="185">
        <f>C236+C182</f>
        <v>16611882.635032527</v>
      </c>
    </row>
    <row r="243" spans="1:7" x14ac:dyDescent="0.35">
      <c r="A243" s="49" t="s">
        <v>231</v>
      </c>
      <c r="B243" s="44"/>
    </row>
    <row r="244" spans="1:7" x14ac:dyDescent="0.35">
      <c r="A244" t="s">
        <v>160</v>
      </c>
    </row>
    <row r="245" spans="1:7" x14ac:dyDescent="0.35">
      <c r="A245" t="s">
        <v>232</v>
      </c>
    </row>
    <row r="246" spans="1:7" x14ac:dyDescent="0.35">
      <c r="A246" t="s">
        <v>233</v>
      </c>
    </row>
    <row r="247" spans="1:7" x14ac:dyDescent="0.35">
      <c r="A247" t="s">
        <v>308</v>
      </c>
    </row>
    <row r="248" spans="1:7" x14ac:dyDescent="0.35">
      <c r="A248" t="s">
        <v>310</v>
      </c>
      <c r="C248" s="60"/>
    </row>
    <row r="249" spans="1:7" x14ac:dyDescent="0.35">
      <c r="A249" t="s">
        <v>271</v>
      </c>
      <c r="C249" s="60"/>
    </row>
    <row r="250" spans="1:7" x14ac:dyDescent="0.35">
      <c r="A250" t="s">
        <v>234</v>
      </c>
    </row>
    <row r="251" spans="1:7" x14ac:dyDescent="0.35">
      <c r="B251" s="88" t="s">
        <v>235</v>
      </c>
      <c r="C251" s="89" t="s">
        <v>236</v>
      </c>
      <c r="D251" s="89" t="s">
        <v>237</v>
      </c>
      <c r="E251" s="90" t="s">
        <v>238</v>
      </c>
      <c r="F251" s="90" t="s">
        <v>239</v>
      </c>
      <c r="G251" s="91" t="s">
        <v>240</v>
      </c>
    </row>
    <row r="252" spans="1:7" x14ac:dyDescent="0.35">
      <c r="B252" s="86" t="s">
        <v>241</v>
      </c>
      <c r="C252" s="24">
        <f>$D$116</f>
        <v>2342049.111111111</v>
      </c>
      <c r="D252" s="80">
        <v>2500</v>
      </c>
      <c r="E252" s="2">
        <v>0</v>
      </c>
      <c r="F252" s="2" t="s">
        <v>242</v>
      </c>
      <c r="G252" s="81">
        <f>(C252/D252)*E252</f>
        <v>0</v>
      </c>
    </row>
    <row r="253" spans="1:7" x14ac:dyDescent="0.35">
      <c r="B253" s="86" t="s">
        <v>243</v>
      </c>
      <c r="C253" s="24">
        <f>$D$116</f>
        <v>2342049.111111111</v>
      </c>
      <c r="D253" s="80">
        <v>30000</v>
      </c>
      <c r="E253" s="2">
        <f>200+25</f>
        <v>225</v>
      </c>
      <c r="F253" s="2">
        <v>10</v>
      </c>
      <c r="G253" s="81">
        <f>(C253/D253)*(E253+F253)</f>
        <v>18346.051370370369</v>
      </c>
    </row>
    <row r="254" spans="1:7" x14ac:dyDescent="0.35">
      <c r="B254" s="86" t="s">
        <v>244</v>
      </c>
      <c r="C254" s="24">
        <f>$D$116</f>
        <v>2342049.111111111</v>
      </c>
      <c r="D254" s="80">
        <v>10000</v>
      </c>
      <c r="E254" s="2">
        <v>45</v>
      </c>
      <c r="F254" s="2">
        <v>10</v>
      </c>
      <c r="G254" s="81">
        <f>(C254/D254)*(E254+F254)</f>
        <v>12881.270111111111</v>
      </c>
    </row>
    <row r="255" spans="1:7" ht="16" x14ac:dyDescent="0.5">
      <c r="B255" s="86" t="s">
        <v>245</v>
      </c>
      <c r="C255" s="24">
        <f>$D$116</f>
        <v>2342049.111111111</v>
      </c>
      <c r="D255" s="80">
        <v>2500</v>
      </c>
      <c r="E255" s="2">
        <v>15</v>
      </c>
      <c r="F255" s="2">
        <v>10</v>
      </c>
      <c r="G255" s="92">
        <f>(C255/D255)*(E255+F255)</f>
        <v>23420.491111111111</v>
      </c>
    </row>
    <row r="256" spans="1:7" x14ac:dyDescent="0.35">
      <c r="B256" s="87"/>
      <c r="C256" s="20"/>
      <c r="D256" s="20"/>
      <c r="E256" s="20"/>
      <c r="F256" s="20" t="s">
        <v>83</v>
      </c>
      <c r="G256" s="82">
        <f>SUM(G252:G255)</f>
        <v>54647.812592592585</v>
      </c>
    </row>
    <row r="257" spans="1:7" x14ac:dyDescent="0.35">
      <c r="G257" s="83"/>
    </row>
    <row r="258" spans="1:7" x14ac:dyDescent="0.35">
      <c r="A258" t="s">
        <v>246</v>
      </c>
    </row>
    <row r="259" spans="1:7" x14ac:dyDescent="0.35">
      <c r="A259" t="s">
        <v>247</v>
      </c>
    </row>
    <row r="260" spans="1:7" x14ac:dyDescent="0.35">
      <c r="A260" s="93" t="s">
        <v>681</v>
      </c>
    </row>
    <row r="261" spans="1:7" x14ac:dyDescent="0.35">
      <c r="A261" s="93" t="s">
        <v>248</v>
      </c>
    </row>
    <row r="263" spans="1:7" x14ac:dyDescent="0.35">
      <c r="A263" t="s">
        <v>249</v>
      </c>
    </row>
    <row r="264" spans="1:7" x14ac:dyDescent="0.35">
      <c r="A264" t="s">
        <v>250</v>
      </c>
      <c r="C264" s="213">
        <f>C108</f>
        <v>541</v>
      </c>
    </row>
    <row r="265" spans="1:7" x14ac:dyDescent="0.35">
      <c r="A265" t="s">
        <v>251</v>
      </c>
      <c r="C265">
        <v>1000</v>
      </c>
    </row>
    <row r="266" spans="1:7" x14ac:dyDescent="0.35">
      <c r="A266" t="s">
        <v>252</v>
      </c>
      <c r="C266" s="135">
        <v>25</v>
      </c>
    </row>
    <row r="267" spans="1:7" x14ac:dyDescent="0.35">
      <c r="A267" t="s">
        <v>253</v>
      </c>
      <c r="C267" s="84">
        <f>((C264*23*2000)/C265)*C266</f>
        <v>622150</v>
      </c>
    </row>
    <row r="268" spans="1:7" x14ac:dyDescent="0.35">
      <c r="D268" s="100"/>
    </row>
    <row r="269" spans="1:7" x14ac:dyDescent="0.35">
      <c r="A269" t="s">
        <v>1183</v>
      </c>
    </row>
    <row r="270" spans="1:7" x14ac:dyDescent="0.35">
      <c r="A270" t="s">
        <v>272</v>
      </c>
    </row>
    <row r="271" spans="1:7" x14ac:dyDescent="0.35">
      <c r="A271" t="s">
        <v>254</v>
      </c>
    </row>
    <row r="272" spans="1:7" x14ac:dyDescent="0.35">
      <c r="A272" t="s">
        <v>255</v>
      </c>
    </row>
    <row r="273" spans="1:5" x14ac:dyDescent="0.35">
      <c r="A273" t="s">
        <v>256</v>
      </c>
    </row>
    <row r="275" spans="1:5" x14ac:dyDescent="0.35">
      <c r="A275" t="s">
        <v>257</v>
      </c>
      <c r="E275" s="59"/>
    </row>
    <row r="276" spans="1:5" x14ac:dyDescent="0.35">
      <c r="A276" t="s">
        <v>258</v>
      </c>
      <c r="C276">
        <v>150</v>
      </c>
    </row>
    <row r="277" spans="1:5" x14ac:dyDescent="0.35">
      <c r="A277" t="s">
        <v>259</v>
      </c>
      <c r="C277" s="23">
        <f>C165</f>
        <v>2375.2070008428777</v>
      </c>
    </row>
    <row r="278" spans="1:5" x14ac:dyDescent="0.35">
      <c r="A278" t="s">
        <v>260</v>
      </c>
      <c r="C278" s="59">
        <f>C276*C277</f>
        <v>356281.05012643168</v>
      </c>
    </row>
    <row r="279" spans="1:5" x14ac:dyDescent="0.35">
      <c r="D279" s="26"/>
    </row>
    <row r="280" spans="1:5" x14ac:dyDescent="0.35">
      <c r="A280" t="s">
        <v>261</v>
      </c>
    </row>
    <row r="281" spans="1:5" x14ac:dyDescent="0.35">
      <c r="A281" t="s">
        <v>262</v>
      </c>
      <c r="C281">
        <v>200</v>
      </c>
    </row>
    <row r="282" spans="1:5" x14ac:dyDescent="0.35">
      <c r="A282" t="s">
        <v>263</v>
      </c>
      <c r="C282" s="24">
        <f>(C165/10)/12</f>
        <v>19.793391673690646</v>
      </c>
    </row>
    <row r="283" spans="1:5" x14ac:dyDescent="0.35">
      <c r="A283" t="s">
        <v>264</v>
      </c>
      <c r="C283" s="100">
        <f>C281*C282</f>
        <v>3958.6783347381293</v>
      </c>
    </row>
    <row r="285" spans="1:5" x14ac:dyDescent="0.35">
      <c r="A285" t="s">
        <v>380</v>
      </c>
    </row>
    <row r="286" spans="1:5" x14ac:dyDescent="0.35">
      <c r="A286" t="s">
        <v>307</v>
      </c>
    </row>
    <row r="287" spans="1:5" x14ac:dyDescent="0.35">
      <c r="A287" t="s">
        <v>265</v>
      </c>
    </row>
    <row r="289" spans="1:5" x14ac:dyDescent="0.35">
      <c r="A289" t="s">
        <v>266</v>
      </c>
    </row>
    <row r="290" spans="1:5" x14ac:dyDescent="0.35">
      <c r="A290" t="s">
        <v>381</v>
      </c>
      <c r="C290" s="213">
        <f>C108</f>
        <v>541</v>
      </c>
    </row>
    <row r="291" spans="1:5" x14ac:dyDescent="0.35">
      <c r="A291" t="s">
        <v>267</v>
      </c>
      <c r="C291">
        <v>0.25</v>
      </c>
    </row>
    <row r="292" spans="1:5" x14ac:dyDescent="0.35">
      <c r="A292" t="s">
        <v>268</v>
      </c>
      <c r="C292" s="85">
        <f>C290/C291</f>
        <v>2164</v>
      </c>
    </row>
    <row r="293" spans="1:5" x14ac:dyDescent="0.35">
      <c r="A293" t="s">
        <v>269</v>
      </c>
      <c r="C293" s="59">
        <f>C292*'Rates 2020'!$J$13*2</f>
        <v>1439536.08</v>
      </c>
    </row>
    <row r="294" spans="1:5" x14ac:dyDescent="0.35">
      <c r="D294" s="26"/>
    </row>
    <row r="295" spans="1:5" x14ac:dyDescent="0.35">
      <c r="A295" s="121" t="s">
        <v>270</v>
      </c>
      <c r="B295" s="121"/>
      <c r="C295" s="121"/>
      <c r="D295" s="124">
        <f>C293+C283+C278+C267+G256</f>
        <v>2476573.6210537623</v>
      </c>
    </row>
    <row r="298" spans="1:5" x14ac:dyDescent="0.35">
      <c r="A298" s="121" t="s">
        <v>274</v>
      </c>
      <c r="B298" s="121"/>
      <c r="D298" s="46"/>
    </row>
    <row r="299" spans="1:5" x14ac:dyDescent="0.35">
      <c r="A299" t="s">
        <v>160</v>
      </c>
      <c r="E299" s="46"/>
    </row>
    <row r="300" spans="1:5" s="60" customFormat="1" x14ac:dyDescent="0.35">
      <c r="A300" s="60" t="s">
        <v>1556</v>
      </c>
      <c r="E300" s="46"/>
    </row>
    <row r="301" spans="1:5" x14ac:dyDescent="0.35">
      <c r="A301" t="s">
        <v>278</v>
      </c>
      <c r="E301" s="46"/>
    </row>
    <row r="302" spans="1:5" x14ac:dyDescent="0.35">
      <c r="E302" s="46"/>
    </row>
    <row r="303" spans="1:5" x14ac:dyDescent="0.35">
      <c r="A303" t="s">
        <v>381</v>
      </c>
      <c r="D303" s="213">
        <f>C108</f>
        <v>541</v>
      </c>
    </row>
    <row r="304" spans="1:5" x14ac:dyDescent="0.35">
      <c r="A304" t="s">
        <v>275</v>
      </c>
      <c r="D304" s="597">
        <v>1500</v>
      </c>
    </row>
    <row r="305" spans="1:8" x14ac:dyDescent="0.35">
      <c r="A305" t="s">
        <v>170</v>
      </c>
      <c r="D305" s="94">
        <f>D303*D304</f>
        <v>811500</v>
      </c>
    </row>
    <row r="306" spans="1:8" x14ac:dyDescent="0.35">
      <c r="E306" s="46"/>
    </row>
    <row r="307" spans="1:8" x14ac:dyDescent="0.35">
      <c r="A307" s="121" t="s">
        <v>276</v>
      </c>
      <c r="B307" s="121"/>
      <c r="C307" s="121"/>
      <c r="D307" s="124">
        <f>D305</f>
        <v>811500</v>
      </c>
    </row>
    <row r="310" spans="1:8" s="5" customFormat="1" ht="18.5" x14ac:dyDescent="0.45">
      <c r="A310" s="125" t="s">
        <v>1215</v>
      </c>
      <c r="B310" s="125"/>
      <c r="C310" s="125"/>
      <c r="D310" s="345">
        <f>D307+D295+D240+D98</f>
        <v>20399956.25608629</v>
      </c>
      <c r="E310" s="95"/>
      <c r="G310" s="202"/>
      <c r="H310"/>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499984740745262"/>
  </sheetPr>
  <dimension ref="A1:J81"/>
  <sheetViews>
    <sheetView zoomScale="85" zoomScaleNormal="85" workbookViewId="0">
      <selection activeCell="I33" sqref="I33"/>
    </sheetView>
  </sheetViews>
  <sheetFormatPr defaultRowHeight="14.5" x14ac:dyDescent="0.35"/>
  <cols>
    <col min="2" max="2" width="23.453125" customWidth="1"/>
    <col min="3" max="3" width="19.26953125" customWidth="1"/>
    <col min="4" max="4" width="16.26953125" bestFit="1" customWidth="1"/>
    <col min="5" max="6" width="12.54296875" bestFit="1" customWidth="1"/>
    <col min="7" max="7" width="13" bestFit="1" customWidth="1"/>
    <col min="8" max="8" width="15" bestFit="1" customWidth="1"/>
    <col min="10" max="10" width="10" bestFit="1" customWidth="1"/>
  </cols>
  <sheetData>
    <row r="1" spans="1:10" x14ac:dyDescent="0.35">
      <c r="A1" s="307" t="s">
        <v>0</v>
      </c>
    </row>
    <row r="2" spans="1:10" x14ac:dyDescent="0.35">
      <c r="A2" s="308" t="s">
        <v>1</v>
      </c>
    </row>
    <row r="3" spans="1:10" x14ac:dyDescent="0.35">
      <c r="A3" s="308" t="s">
        <v>971</v>
      </c>
    </row>
    <row r="4" spans="1:10" x14ac:dyDescent="0.35">
      <c r="A4" s="309" t="s">
        <v>1546</v>
      </c>
    </row>
    <row r="6" spans="1:10" ht="18.5" x14ac:dyDescent="0.45">
      <c r="A6" s="125" t="s">
        <v>1560</v>
      </c>
      <c r="B6" s="96"/>
      <c r="C6" s="96"/>
      <c r="D6" s="96"/>
      <c r="E6" s="96"/>
    </row>
    <row r="7" spans="1:10" ht="15" thickBot="1" x14ac:dyDescent="0.4"/>
    <row r="8" spans="1:10" x14ac:dyDescent="0.35">
      <c r="A8" s="341" t="s">
        <v>1221</v>
      </c>
      <c r="B8" s="8"/>
      <c r="C8" s="8"/>
      <c r="D8" s="8"/>
      <c r="E8" s="8"/>
      <c r="F8" s="8"/>
      <c r="G8" s="8"/>
      <c r="H8" s="8"/>
      <c r="I8" s="8"/>
      <c r="J8" s="17"/>
    </row>
    <row r="9" spans="1:10" x14ac:dyDescent="0.35">
      <c r="A9" s="11" t="s">
        <v>279</v>
      </c>
      <c r="J9" s="18"/>
    </row>
    <row r="10" spans="1:10" x14ac:dyDescent="0.35">
      <c r="A10" s="11"/>
      <c r="B10" t="s">
        <v>1222</v>
      </c>
      <c r="G10" s="26">
        <f>C67</f>
        <v>28465</v>
      </c>
      <c r="J10" s="18"/>
    </row>
    <row r="11" spans="1:10" x14ac:dyDescent="0.35">
      <c r="A11" s="11"/>
      <c r="J11" s="18"/>
    </row>
    <row r="12" spans="1:10" x14ac:dyDescent="0.35">
      <c r="A12" s="11"/>
      <c r="C12" s="5" t="s">
        <v>1250</v>
      </c>
      <c r="G12" s="342">
        <f>G10</f>
        <v>28465</v>
      </c>
      <c r="J12" s="18"/>
    </row>
    <row r="13" spans="1:10" ht="15" thickBot="1" x14ac:dyDescent="0.4">
      <c r="A13" s="13"/>
      <c r="B13" s="14"/>
      <c r="C13" s="409" t="s">
        <v>1193</v>
      </c>
      <c r="D13" s="14"/>
      <c r="E13" s="14"/>
      <c r="F13" s="409"/>
      <c r="G13" s="410" t="s">
        <v>698</v>
      </c>
      <c r="H13" s="14"/>
      <c r="I13" s="14"/>
      <c r="J13" s="19"/>
    </row>
    <row r="14" spans="1:10" x14ac:dyDescent="0.35">
      <c r="A14" s="11" t="s">
        <v>1225</v>
      </c>
    </row>
    <row r="16" spans="1:10" x14ac:dyDescent="0.35">
      <c r="A16" t="s">
        <v>1231</v>
      </c>
    </row>
    <row r="17" spans="1:8" x14ac:dyDescent="0.35">
      <c r="A17" s="60" t="s">
        <v>1224</v>
      </c>
      <c r="B17" s="60"/>
      <c r="C17" s="60"/>
      <c r="D17" s="60"/>
      <c r="E17" s="60"/>
      <c r="F17" s="60"/>
      <c r="G17" s="60"/>
    </row>
    <row r="18" spans="1:8" x14ac:dyDescent="0.35">
      <c r="A18" s="60"/>
      <c r="B18" s="60"/>
      <c r="C18" s="60"/>
      <c r="D18" s="60"/>
      <c r="E18" s="60"/>
      <c r="F18" s="60"/>
      <c r="G18" s="60"/>
    </row>
    <row r="19" spans="1:8" x14ac:dyDescent="0.35">
      <c r="A19" s="48" t="s">
        <v>1022</v>
      </c>
      <c r="B19" s="60"/>
      <c r="C19" s="60"/>
      <c r="D19" s="60"/>
      <c r="E19" s="60"/>
      <c r="F19" s="60"/>
    </row>
    <row r="20" spans="1:8" x14ac:dyDescent="0.35">
      <c r="A20" s="48" t="s">
        <v>995</v>
      </c>
      <c r="D20" s="434" t="s">
        <v>1196</v>
      </c>
      <c r="E20" s="434" t="s">
        <v>1216</v>
      </c>
      <c r="F20" s="434" t="s">
        <v>1217</v>
      </c>
      <c r="G20" s="434" t="s">
        <v>1197</v>
      </c>
      <c r="H20" s="434" t="s">
        <v>992</v>
      </c>
    </row>
    <row r="21" spans="1:8" x14ac:dyDescent="0.35">
      <c r="A21" s="60" t="s">
        <v>999</v>
      </c>
      <c r="D21" s="436"/>
      <c r="E21" s="436">
        <v>1.3146700685601052</v>
      </c>
      <c r="F21" s="436"/>
      <c r="G21" s="436"/>
      <c r="H21" s="436">
        <v>1.3146700685601052</v>
      </c>
    </row>
    <row r="22" spans="1:8" x14ac:dyDescent="0.35">
      <c r="A22" s="60" t="s">
        <v>1073</v>
      </c>
      <c r="D22" s="436"/>
      <c r="E22" s="437">
        <v>0.4648859782022437</v>
      </c>
      <c r="F22" s="437"/>
      <c r="G22" s="437"/>
      <c r="H22" s="437">
        <v>0.4648859782022437</v>
      </c>
    </row>
    <row r="23" spans="1:8" x14ac:dyDescent="0.35">
      <c r="A23" s="60"/>
      <c r="D23" s="60"/>
      <c r="E23" s="60"/>
      <c r="F23" s="60"/>
      <c r="G23" s="60"/>
      <c r="H23" s="60"/>
    </row>
    <row r="25" spans="1:8" x14ac:dyDescent="0.35">
      <c r="A25" t="s">
        <v>160</v>
      </c>
    </row>
    <row r="26" spans="1:8" x14ac:dyDescent="0.35">
      <c r="A26" t="s">
        <v>1194</v>
      </c>
    </row>
    <row r="27" spans="1:8" x14ac:dyDescent="0.35">
      <c r="A27" t="s">
        <v>1195</v>
      </c>
    </row>
    <row r="28" spans="1:8" x14ac:dyDescent="0.35">
      <c r="A28" t="s">
        <v>434</v>
      </c>
    </row>
    <row r="29" spans="1:8" x14ac:dyDescent="0.35">
      <c r="A29" t="s">
        <v>1223</v>
      </c>
    </row>
    <row r="30" spans="1:8" x14ac:dyDescent="0.35">
      <c r="A30" t="s">
        <v>435</v>
      </c>
    </row>
    <row r="32" spans="1:8" x14ac:dyDescent="0.35">
      <c r="A32" s="134" t="s">
        <v>433</v>
      </c>
    </row>
    <row r="33" spans="1:3" x14ac:dyDescent="0.35">
      <c r="A33" t="s">
        <v>403</v>
      </c>
    </row>
    <row r="35" spans="1:3" x14ac:dyDescent="0.35">
      <c r="B35" s="20" t="s">
        <v>1232</v>
      </c>
      <c r="C35" s="4" t="s">
        <v>404</v>
      </c>
    </row>
    <row r="36" spans="1:3" x14ac:dyDescent="0.35">
      <c r="B36" t="s">
        <v>405</v>
      </c>
      <c r="C36" s="2">
        <v>200</v>
      </c>
    </row>
    <row r="37" spans="1:3" x14ac:dyDescent="0.35">
      <c r="B37" t="s">
        <v>406</v>
      </c>
      <c r="C37" s="2">
        <v>200</v>
      </c>
    </row>
    <row r="38" spans="1:3" x14ac:dyDescent="0.35">
      <c r="B38" t="s">
        <v>407</v>
      </c>
      <c r="C38" s="2">
        <v>200</v>
      </c>
    </row>
    <row r="39" spans="1:3" x14ac:dyDescent="0.35">
      <c r="B39" t="s">
        <v>408</v>
      </c>
      <c r="C39" s="2">
        <v>150</v>
      </c>
    </row>
    <row r="40" spans="1:3" x14ac:dyDescent="0.35">
      <c r="B40" t="s">
        <v>409</v>
      </c>
      <c r="C40" s="2">
        <v>200</v>
      </c>
    </row>
    <row r="41" spans="1:3" x14ac:dyDescent="0.35">
      <c r="B41" t="s">
        <v>410</v>
      </c>
      <c r="C41" s="2">
        <v>191</v>
      </c>
    </row>
    <row r="42" spans="1:3" x14ac:dyDescent="0.35">
      <c r="B42" t="s">
        <v>411</v>
      </c>
      <c r="C42" s="2">
        <v>195</v>
      </c>
    </row>
    <row r="43" spans="1:3" x14ac:dyDescent="0.35">
      <c r="B43" t="s">
        <v>412</v>
      </c>
      <c r="C43" s="2">
        <v>115</v>
      </c>
    </row>
    <row r="44" spans="1:3" x14ac:dyDescent="0.35">
      <c r="B44" t="s">
        <v>413</v>
      </c>
      <c r="C44" s="2">
        <v>230</v>
      </c>
    </row>
    <row r="45" spans="1:3" x14ac:dyDescent="0.35">
      <c r="B45" t="s">
        <v>414</v>
      </c>
      <c r="C45" s="2">
        <v>197</v>
      </c>
    </row>
    <row r="46" spans="1:3" x14ac:dyDescent="0.35">
      <c r="B46" t="s">
        <v>415</v>
      </c>
      <c r="C46" s="2">
        <v>386</v>
      </c>
    </row>
    <row r="47" spans="1:3" x14ac:dyDescent="0.35">
      <c r="B47" t="s">
        <v>416</v>
      </c>
      <c r="C47" s="2">
        <v>220</v>
      </c>
    </row>
    <row r="48" spans="1:3" x14ac:dyDescent="0.35">
      <c r="B48" t="s">
        <v>417</v>
      </c>
      <c r="C48" s="2">
        <v>240</v>
      </c>
    </row>
    <row r="49" spans="1:5" x14ac:dyDescent="0.35">
      <c r="B49" t="s">
        <v>418</v>
      </c>
      <c r="C49" s="2">
        <v>400</v>
      </c>
      <c r="E49" s="133"/>
    </row>
    <row r="50" spans="1:5" x14ac:dyDescent="0.35">
      <c r="B50" t="s">
        <v>419</v>
      </c>
      <c r="C50" s="2">
        <v>203</v>
      </c>
      <c r="E50" s="133"/>
    </row>
    <row r="51" spans="1:5" x14ac:dyDescent="0.35">
      <c r="B51" t="s">
        <v>420</v>
      </c>
      <c r="C51" s="2">
        <v>102</v>
      </c>
      <c r="E51" s="133"/>
    </row>
    <row r="52" spans="1:5" x14ac:dyDescent="0.35">
      <c r="B52" t="s">
        <v>421</v>
      </c>
      <c r="C52" s="2">
        <v>142</v>
      </c>
      <c r="E52" s="133"/>
    </row>
    <row r="53" spans="1:5" x14ac:dyDescent="0.35">
      <c r="B53" t="s">
        <v>422</v>
      </c>
      <c r="C53" s="2">
        <v>100</v>
      </c>
      <c r="E53" s="133"/>
    </row>
    <row r="54" spans="1:5" x14ac:dyDescent="0.35">
      <c r="B54" t="s">
        <v>423</v>
      </c>
      <c r="C54" s="2">
        <v>201</v>
      </c>
      <c r="E54" s="133"/>
    </row>
    <row r="55" spans="1:5" x14ac:dyDescent="0.35">
      <c r="B55" t="s">
        <v>424</v>
      </c>
      <c r="C55" s="2">
        <v>99</v>
      </c>
      <c r="E55" s="133"/>
    </row>
    <row r="56" spans="1:5" x14ac:dyDescent="0.35">
      <c r="B56" t="s">
        <v>425</v>
      </c>
      <c r="C56" s="2">
        <v>101</v>
      </c>
      <c r="E56" s="133"/>
    </row>
    <row r="57" spans="1:5" x14ac:dyDescent="0.35">
      <c r="B57" t="s">
        <v>426</v>
      </c>
      <c r="C57" s="2">
        <v>517</v>
      </c>
      <c r="E57" s="133"/>
    </row>
    <row r="58" spans="1:5" x14ac:dyDescent="0.35">
      <c r="B58" t="s">
        <v>427</v>
      </c>
      <c r="C58" s="2">
        <v>552</v>
      </c>
      <c r="E58" s="133"/>
    </row>
    <row r="59" spans="1:5" x14ac:dyDescent="0.35">
      <c r="B59" s="20" t="s">
        <v>428</v>
      </c>
      <c r="C59" s="4">
        <v>552</v>
      </c>
      <c r="E59" s="133"/>
    </row>
    <row r="60" spans="1:5" x14ac:dyDescent="0.35">
      <c r="B60" t="s">
        <v>993</v>
      </c>
      <c r="C60" s="2">
        <v>5693</v>
      </c>
      <c r="E60" s="133"/>
    </row>
    <row r="61" spans="1:5" x14ac:dyDescent="0.35">
      <c r="E61" s="133"/>
    </row>
    <row r="62" spans="1:5" x14ac:dyDescent="0.35">
      <c r="A62" t="s">
        <v>1227</v>
      </c>
      <c r="E62" s="133"/>
    </row>
    <row r="63" spans="1:5" x14ac:dyDescent="0.35">
      <c r="A63" t="s">
        <v>1226</v>
      </c>
      <c r="E63" s="133"/>
    </row>
    <row r="64" spans="1:5" x14ac:dyDescent="0.35">
      <c r="E64" s="133"/>
    </row>
    <row r="65" spans="1:5" x14ac:dyDescent="0.35">
      <c r="B65" t="s">
        <v>1228</v>
      </c>
      <c r="C65" s="59">
        <v>5</v>
      </c>
      <c r="E65" s="133"/>
    </row>
    <row r="66" spans="1:5" x14ac:dyDescent="0.35">
      <c r="B66" s="20" t="s">
        <v>1230</v>
      </c>
      <c r="C66" s="20">
        <f>C60</f>
        <v>5693</v>
      </c>
      <c r="E66" s="133"/>
    </row>
    <row r="67" spans="1:5" x14ac:dyDescent="0.35">
      <c r="B67" s="5" t="s">
        <v>1229</v>
      </c>
      <c r="C67" s="342">
        <f>C65*C66</f>
        <v>28465</v>
      </c>
      <c r="E67" s="133"/>
    </row>
    <row r="68" spans="1:5" x14ac:dyDescent="0.35">
      <c r="E68" s="133"/>
    </row>
    <row r="69" spans="1:5" x14ac:dyDescent="0.35">
      <c r="A69" t="s">
        <v>704</v>
      </c>
    </row>
    <row r="70" spans="1:5" x14ac:dyDescent="0.35">
      <c r="A70" t="s">
        <v>705</v>
      </c>
    </row>
    <row r="71" spans="1:5" x14ac:dyDescent="0.35">
      <c r="E71" s="133"/>
    </row>
    <row r="72" spans="1:5" x14ac:dyDescent="0.35">
      <c r="A72" t="s">
        <v>1233</v>
      </c>
      <c r="E72" s="133"/>
    </row>
    <row r="73" spans="1:5" x14ac:dyDescent="0.35">
      <c r="A73" t="s">
        <v>1234</v>
      </c>
      <c r="E73" s="133"/>
    </row>
    <row r="74" spans="1:5" x14ac:dyDescent="0.35">
      <c r="E74" s="133"/>
    </row>
    <row r="75" spans="1:5" x14ac:dyDescent="0.35">
      <c r="C75" t="s">
        <v>429</v>
      </c>
      <c r="D75" s="132" t="s">
        <v>430</v>
      </c>
      <c r="E75" s="131"/>
    </row>
    <row r="76" spans="1:5" x14ac:dyDescent="0.35">
      <c r="B76" t="s">
        <v>431</v>
      </c>
      <c r="C76" s="51">
        <v>0.4</v>
      </c>
      <c r="D76" s="51">
        <v>0.7</v>
      </c>
      <c r="E76" s="51"/>
    </row>
    <row r="77" spans="1:5" x14ac:dyDescent="0.35">
      <c r="B77" t="s">
        <v>432</v>
      </c>
      <c r="C77" s="51">
        <v>0.5</v>
      </c>
      <c r="D77" s="51">
        <v>0.1</v>
      </c>
      <c r="E77" s="51"/>
    </row>
    <row r="78" spans="1:5" x14ac:dyDescent="0.35">
      <c r="B78" s="70">
        <v>2015</v>
      </c>
      <c r="C78" s="51">
        <v>0.4</v>
      </c>
      <c r="D78" s="51">
        <v>0.2</v>
      </c>
      <c r="E78" s="51"/>
    </row>
    <row r="79" spans="1:5" x14ac:dyDescent="0.35">
      <c r="B79" t="s">
        <v>83</v>
      </c>
      <c r="C79" s="51">
        <v>1.3</v>
      </c>
      <c r="D79" s="51">
        <v>1</v>
      </c>
      <c r="E79" s="51">
        <v>2.2999999999999998</v>
      </c>
    </row>
    <row r="81" spans="1:7" ht="18.5" x14ac:dyDescent="0.45">
      <c r="A81" s="126" t="s">
        <v>658</v>
      </c>
      <c r="B81" s="125"/>
      <c r="C81" s="125"/>
      <c r="D81" s="95" t="s">
        <v>170</v>
      </c>
      <c r="E81" s="95"/>
      <c r="F81" s="439">
        <f>C67</f>
        <v>28465</v>
      </c>
      <c r="G81" s="96"/>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K601"/>
  <sheetViews>
    <sheetView zoomScale="85" zoomScaleNormal="85" workbookViewId="0">
      <selection activeCell="A6" sqref="A6:E6"/>
    </sheetView>
  </sheetViews>
  <sheetFormatPr defaultColWidth="8.81640625" defaultRowHeight="14.5" x14ac:dyDescent="0.35"/>
  <cols>
    <col min="3" max="3" width="10" customWidth="1"/>
    <col min="4" max="4" width="11.1796875" customWidth="1"/>
    <col min="5" max="5" width="17" customWidth="1"/>
    <col min="6" max="6" width="19.453125" customWidth="1"/>
    <col min="7" max="7" width="15.1796875" customWidth="1"/>
    <col min="8" max="8" width="12.54296875" bestFit="1" customWidth="1"/>
    <col min="9" max="9" width="15.81640625" customWidth="1"/>
  </cols>
  <sheetData>
    <row r="1" spans="1:5" x14ac:dyDescent="0.35">
      <c r="A1" s="307" t="s">
        <v>0</v>
      </c>
    </row>
    <row r="2" spans="1:5" x14ac:dyDescent="0.35">
      <c r="A2" s="308" t="s">
        <v>1</v>
      </c>
    </row>
    <row r="3" spans="1:5" x14ac:dyDescent="0.35">
      <c r="A3" s="308" t="s">
        <v>971</v>
      </c>
    </row>
    <row r="4" spans="1:5" x14ac:dyDescent="0.35">
      <c r="A4" s="309" t="s">
        <v>1546</v>
      </c>
    </row>
    <row r="6" spans="1:5" ht="18.5" x14ac:dyDescent="0.45">
      <c r="A6" s="125" t="s">
        <v>1236</v>
      </c>
      <c r="B6" s="96"/>
      <c r="C6" s="96"/>
      <c r="D6" s="96"/>
      <c r="E6" s="96"/>
    </row>
    <row r="8" spans="1:5" ht="18.5" x14ac:dyDescent="0.45">
      <c r="A8" s="203" t="s">
        <v>697</v>
      </c>
    </row>
    <row r="71" spans="1:2" ht="18.5" x14ac:dyDescent="0.45">
      <c r="A71" s="203" t="s">
        <v>1330</v>
      </c>
      <c r="B71" s="203"/>
    </row>
    <row r="73" spans="1:2" x14ac:dyDescent="0.35">
      <c r="A73" t="s">
        <v>696</v>
      </c>
    </row>
    <row r="74" spans="1:2" x14ac:dyDescent="0.35">
      <c r="A74" t="s">
        <v>695</v>
      </c>
    </row>
    <row r="158" spans="1:2" ht="18.5" x14ac:dyDescent="0.45">
      <c r="A158" s="203" t="s">
        <v>1331</v>
      </c>
      <c r="B158" s="203"/>
    </row>
    <row r="169" spans="1:2" ht="18.5" x14ac:dyDescent="0.45">
      <c r="A169" s="203"/>
      <c r="B169" s="203"/>
    </row>
    <row r="170" spans="1:2" ht="18.5" x14ac:dyDescent="0.45">
      <c r="A170" s="203"/>
      <c r="B170" s="203"/>
    </row>
    <row r="171" spans="1:2" ht="18.5" x14ac:dyDescent="0.45">
      <c r="A171" s="203"/>
      <c r="B171" s="203"/>
    </row>
    <row r="172" spans="1:2" ht="18.5" x14ac:dyDescent="0.45">
      <c r="A172" s="203"/>
      <c r="B172" s="203"/>
    </row>
    <row r="173" spans="1:2" ht="18.5" x14ac:dyDescent="0.45">
      <c r="A173" s="203"/>
      <c r="B173" s="203"/>
    </row>
    <row r="174" spans="1:2" ht="18.5" x14ac:dyDescent="0.45">
      <c r="A174" s="203"/>
      <c r="B174" s="203"/>
    </row>
    <row r="175" spans="1:2" ht="18.5" x14ac:dyDescent="0.45">
      <c r="A175" s="203"/>
      <c r="B175" s="203"/>
    </row>
    <row r="176" spans="1:2" ht="18.5" x14ac:dyDescent="0.45">
      <c r="A176" s="203"/>
      <c r="B176" s="203"/>
    </row>
    <row r="177" spans="1:2" ht="18.5" x14ac:dyDescent="0.45">
      <c r="A177" s="203"/>
      <c r="B177" s="203"/>
    </row>
    <row r="178" spans="1:2" ht="18.5" x14ac:dyDescent="0.45">
      <c r="A178" s="203"/>
      <c r="B178" s="203"/>
    </row>
    <row r="179" spans="1:2" ht="18.5" x14ac:dyDescent="0.45">
      <c r="A179" s="203"/>
      <c r="B179" s="203"/>
    </row>
    <row r="180" spans="1:2" ht="18.5" x14ac:dyDescent="0.45">
      <c r="A180" s="203"/>
      <c r="B180" s="203"/>
    </row>
    <row r="181" spans="1:2" ht="18.5" x14ac:dyDescent="0.45">
      <c r="A181" s="203"/>
      <c r="B181" s="203"/>
    </row>
    <row r="182" spans="1:2" ht="18.5" x14ac:dyDescent="0.45">
      <c r="A182" s="203"/>
      <c r="B182" s="203"/>
    </row>
    <row r="183" spans="1:2" ht="18.5" x14ac:dyDescent="0.45">
      <c r="A183" s="203"/>
      <c r="B183" s="203"/>
    </row>
    <row r="184" spans="1:2" ht="18.5" x14ac:dyDescent="0.45">
      <c r="A184" s="203"/>
      <c r="B184" s="203"/>
    </row>
    <row r="185" spans="1:2" ht="18.5" x14ac:dyDescent="0.45">
      <c r="A185" s="203"/>
      <c r="B185" s="203"/>
    </row>
    <row r="186" spans="1:2" ht="18.5" x14ac:dyDescent="0.45">
      <c r="A186" s="203"/>
      <c r="B186" s="203"/>
    </row>
    <row r="187" spans="1:2" ht="18.5" x14ac:dyDescent="0.45">
      <c r="A187" s="203"/>
      <c r="B187" s="203"/>
    </row>
    <row r="188" spans="1:2" ht="18.5" x14ac:dyDescent="0.45">
      <c r="A188" s="203"/>
      <c r="B188" s="203"/>
    </row>
    <row r="189" spans="1:2" ht="18.5" x14ac:dyDescent="0.45">
      <c r="A189" s="203"/>
      <c r="B189" s="203"/>
    </row>
    <row r="190" spans="1:2" ht="18.5" x14ac:dyDescent="0.45">
      <c r="A190" s="203"/>
      <c r="B190" s="203"/>
    </row>
    <row r="191" spans="1:2" ht="18.5" x14ac:dyDescent="0.45">
      <c r="A191" s="203"/>
      <c r="B191" s="203"/>
    </row>
    <row r="192" spans="1:2" ht="18.5" x14ac:dyDescent="0.45">
      <c r="A192" s="203"/>
      <c r="B192" s="203"/>
    </row>
    <row r="198" spans="1:2" ht="18.5" x14ac:dyDescent="0.45">
      <c r="B198" s="203"/>
    </row>
    <row r="199" spans="1:2" ht="18.5" x14ac:dyDescent="0.45">
      <c r="B199" s="203"/>
    </row>
    <row r="200" spans="1:2" ht="18.5" x14ac:dyDescent="0.45">
      <c r="B200" s="203"/>
    </row>
    <row r="201" spans="1:2" ht="18.5" x14ac:dyDescent="0.45">
      <c r="B201" s="203"/>
    </row>
    <row r="202" spans="1:2" ht="21" x14ac:dyDescent="0.5">
      <c r="A202" s="232"/>
      <c r="B202" s="203"/>
    </row>
    <row r="203" spans="1:2" ht="18.5" x14ac:dyDescent="0.45">
      <c r="B203" s="203"/>
    </row>
    <row r="204" spans="1:2" ht="18.5" x14ac:dyDescent="0.45">
      <c r="B204" s="203"/>
    </row>
    <row r="205" spans="1:2" ht="18.5" x14ac:dyDescent="0.45">
      <c r="A205" s="203"/>
      <c r="B205" s="203"/>
    </row>
    <row r="206" spans="1:2" ht="18.5" x14ac:dyDescent="0.45">
      <c r="B206" s="203"/>
    </row>
    <row r="207" spans="1:2" ht="18.5" x14ac:dyDescent="0.45">
      <c r="B207" s="203"/>
    </row>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55" spans="1:1" x14ac:dyDescent="0.35">
      <c r="A255" s="5"/>
    </row>
    <row r="263" spans="1:7" x14ac:dyDescent="0.35">
      <c r="A263" s="237"/>
      <c r="C263" s="2"/>
      <c r="D263" s="2"/>
      <c r="E263" s="233"/>
      <c r="F263" s="233"/>
      <c r="G263" s="233"/>
    </row>
    <row r="264" spans="1:7" x14ac:dyDescent="0.35">
      <c r="C264" s="2"/>
      <c r="D264" s="2"/>
      <c r="E264" s="2"/>
      <c r="F264" s="2"/>
      <c r="G264" s="2"/>
    </row>
    <row r="265" spans="1:7" x14ac:dyDescent="0.35">
      <c r="C265" s="2"/>
      <c r="D265" s="2"/>
      <c r="E265" s="2"/>
      <c r="F265" s="2"/>
      <c r="G265" s="2"/>
    </row>
    <row r="266" spans="1:7" x14ac:dyDescent="0.35">
      <c r="C266" s="638"/>
      <c r="D266" s="638"/>
      <c r="E266" s="2"/>
      <c r="F266" s="2"/>
      <c r="G266" s="2"/>
    </row>
    <row r="267" spans="1:7" x14ac:dyDescent="0.35">
      <c r="C267" s="638"/>
      <c r="D267" s="638"/>
      <c r="E267" s="2"/>
      <c r="F267" s="2"/>
      <c r="G267" s="2"/>
    </row>
    <row r="268" spans="1:7" x14ac:dyDescent="0.35">
      <c r="C268" s="638"/>
      <c r="D268" s="638"/>
      <c r="E268" s="69"/>
      <c r="F268" s="69"/>
      <c r="G268" s="2"/>
    </row>
    <row r="269" spans="1:7" x14ac:dyDescent="0.35">
      <c r="C269" s="638"/>
      <c r="D269" s="638"/>
      <c r="E269" s="69"/>
      <c r="F269" s="69"/>
      <c r="G269" s="2"/>
    </row>
    <row r="270" spans="1:7" x14ac:dyDescent="0.35">
      <c r="C270" s="638"/>
      <c r="D270" s="638"/>
      <c r="E270" s="69"/>
      <c r="F270" s="69"/>
      <c r="G270" s="2"/>
    </row>
    <row r="271" spans="1:7" x14ac:dyDescent="0.35">
      <c r="C271" s="638"/>
      <c r="D271" s="638"/>
      <c r="E271" s="69"/>
      <c r="F271" s="69"/>
      <c r="G271" s="2"/>
    </row>
    <row r="281" spans="1:1" x14ac:dyDescent="0.35">
      <c r="A281" s="5"/>
    </row>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5" spans="2:2" x14ac:dyDescent="0.35">
      <c r="B325" s="5"/>
    </row>
    <row r="339" spans="1:7" x14ac:dyDescent="0.35">
      <c r="C339" s="216"/>
      <c r="D339" s="639"/>
      <c r="E339" s="639"/>
      <c r="F339" s="233"/>
      <c r="G339" s="233"/>
    </row>
    <row r="340" spans="1:7" x14ac:dyDescent="0.35">
      <c r="C340" s="216"/>
      <c r="D340" s="639"/>
      <c r="E340" s="639"/>
      <c r="F340" s="233"/>
      <c r="G340" s="233"/>
    </row>
    <row r="341" spans="1:7" x14ac:dyDescent="0.35">
      <c r="D341" s="639"/>
      <c r="E341" s="639"/>
      <c r="F341" s="2"/>
      <c r="G341" s="2"/>
    </row>
    <row r="342" spans="1:7" x14ac:dyDescent="0.35">
      <c r="D342" s="639"/>
      <c r="E342" s="639"/>
      <c r="F342" s="2"/>
      <c r="G342" s="2"/>
    </row>
    <row r="344" spans="1:7" x14ac:dyDescent="0.35">
      <c r="A344" s="5"/>
    </row>
    <row r="356" spans="6:11" x14ac:dyDescent="0.35">
      <c r="K356" s="5"/>
    </row>
    <row r="361" spans="6:11" x14ac:dyDescent="0.35">
      <c r="F361" s="5"/>
    </row>
    <row r="369" customFormat="1" x14ac:dyDescent="0.35"/>
    <row r="370" customFormat="1" x14ac:dyDescent="0.35"/>
    <row r="371" customFormat="1" x14ac:dyDescent="0.35"/>
    <row r="372" customFormat="1" x14ac:dyDescent="0.35"/>
    <row r="373" customFormat="1" x14ac:dyDescent="0.35"/>
    <row r="374" customFormat="1" x14ac:dyDescent="0.35"/>
    <row r="375" customFormat="1" x14ac:dyDescent="0.35"/>
    <row r="376" customFormat="1" x14ac:dyDescent="0.35"/>
    <row r="377" customFormat="1" x14ac:dyDescent="0.35"/>
    <row r="378" customFormat="1" x14ac:dyDescent="0.35"/>
    <row r="379" customFormat="1" x14ac:dyDescent="0.35"/>
    <row r="380" customFormat="1" x14ac:dyDescent="0.35"/>
    <row r="381" customFormat="1" x14ac:dyDescent="0.35"/>
    <row r="382" customFormat="1" x14ac:dyDescent="0.35"/>
    <row r="383" customFormat="1" x14ac:dyDescent="0.35"/>
    <row r="384" customFormat="1" x14ac:dyDescent="0.35"/>
    <row r="396" spans="1:1" x14ac:dyDescent="0.35">
      <c r="A396" s="5"/>
    </row>
    <row r="397" spans="1:1" x14ac:dyDescent="0.35">
      <c r="A397" s="5"/>
    </row>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41" spans="1:1" x14ac:dyDescent="0.35">
      <c r="A441" s="5"/>
    </row>
    <row r="463" spans="1:1" x14ac:dyDescent="0.35">
      <c r="A463" s="166"/>
    </row>
    <row r="467" spans="1:5" x14ac:dyDescent="0.35">
      <c r="A467" s="638"/>
      <c r="B467" s="638"/>
      <c r="C467" s="5"/>
      <c r="D467" s="5"/>
    </row>
    <row r="468" spans="1:5" x14ac:dyDescent="0.35">
      <c r="B468" s="25"/>
      <c r="C468" s="21"/>
    </row>
    <row r="470" spans="1:5" x14ac:dyDescent="0.35">
      <c r="A470" s="638"/>
      <c r="B470" s="638"/>
      <c r="C470" s="5"/>
      <c r="D470" s="5"/>
    </row>
    <row r="472" spans="1:5" x14ac:dyDescent="0.35">
      <c r="A472" s="638"/>
      <c r="B472" s="638"/>
    </row>
    <row r="473" spans="1:5" x14ac:dyDescent="0.35">
      <c r="C473" s="21"/>
    </row>
    <row r="474" spans="1:5" x14ac:dyDescent="0.35">
      <c r="C474" s="21"/>
    </row>
    <row r="475" spans="1:5" x14ac:dyDescent="0.35">
      <c r="C475" s="234"/>
      <c r="D475" s="5"/>
      <c r="E475" s="238"/>
    </row>
    <row r="480" spans="1:5" x14ac:dyDescent="0.35">
      <c r="E480" s="2"/>
    </row>
    <row r="481" spans="1:7" x14ac:dyDescent="0.35">
      <c r="B481" s="638"/>
      <c r="C481" s="638"/>
      <c r="D481" s="638"/>
      <c r="E481" s="2"/>
    </row>
    <row r="482" spans="1:7" x14ac:dyDescent="0.35">
      <c r="B482" s="638"/>
      <c r="C482" s="638"/>
      <c r="D482" s="638"/>
      <c r="E482" s="239"/>
    </row>
    <row r="483" spans="1:7" x14ac:dyDescent="0.35">
      <c r="D483" s="25"/>
    </row>
    <row r="484" spans="1:7" x14ac:dyDescent="0.35">
      <c r="A484" s="216"/>
      <c r="D484" s="25"/>
    </row>
    <row r="485" spans="1:7" x14ac:dyDescent="0.35">
      <c r="B485" s="5"/>
      <c r="C485" s="5"/>
      <c r="D485" s="235"/>
      <c r="E485" s="236"/>
      <c r="F485" s="5"/>
    </row>
    <row r="488" spans="1:7" x14ac:dyDescent="0.35">
      <c r="A488" s="166"/>
    </row>
    <row r="492" spans="1:7" x14ac:dyDescent="0.35">
      <c r="A492" s="2"/>
      <c r="B492" s="2"/>
      <c r="C492" s="233"/>
      <c r="D492" s="2"/>
      <c r="E492" s="2"/>
      <c r="F492" s="2"/>
      <c r="G492" s="2"/>
    </row>
    <row r="493" spans="1:7" x14ac:dyDescent="0.35">
      <c r="A493" s="638"/>
      <c r="B493" s="638"/>
      <c r="C493" s="233"/>
      <c r="D493" s="2"/>
      <c r="E493" s="2"/>
      <c r="F493" s="2"/>
      <c r="G493" s="2"/>
    </row>
    <row r="494" spans="1:7" x14ac:dyDescent="0.35">
      <c r="A494" s="638"/>
      <c r="B494" s="638"/>
      <c r="C494" s="233"/>
      <c r="D494" s="2"/>
      <c r="E494" s="2"/>
      <c r="F494" s="2"/>
      <c r="G494" s="233"/>
    </row>
    <row r="495" spans="1:7" x14ac:dyDescent="0.35">
      <c r="A495" s="2"/>
      <c r="B495" s="2"/>
      <c r="C495" s="2"/>
      <c r="D495" s="2"/>
      <c r="E495" s="2"/>
      <c r="F495" s="2"/>
      <c r="G495" s="2"/>
    </row>
    <row r="496" spans="1:7" x14ac:dyDescent="0.35">
      <c r="A496" s="2"/>
      <c r="B496" s="2"/>
      <c r="C496" s="233"/>
      <c r="D496" s="2"/>
      <c r="E496" s="2"/>
      <c r="F496" s="2"/>
      <c r="G496" s="233"/>
    </row>
    <row r="502" spans="1:6" x14ac:dyDescent="0.35">
      <c r="E502" s="2"/>
    </row>
    <row r="503" spans="1:6" x14ac:dyDescent="0.35">
      <c r="B503" s="638"/>
      <c r="C503" s="638"/>
      <c r="D503" s="638"/>
      <c r="E503" s="2"/>
    </row>
    <row r="504" spans="1:6" x14ac:dyDescent="0.35">
      <c r="B504" s="638"/>
      <c r="C504" s="638"/>
      <c r="D504" s="638"/>
      <c r="E504" s="239"/>
    </row>
    <row r="505" spans="1:6" x14ac:dyDescent="0.35">
      <c r="D505" s="25"/>
    </row>
    <row r="506" spans="1:6" x14ac:dyDescent="0.35">
      <c r="A506" s="216"/>
      <c r="D506" s="25"/>
    </row>
    <row r="507" spans="1:6" x14ac:dyDescent="0.35">
      <c r="B507" s="5"/>
      <c r="C507" s="5"/>
      <c r="D507" s="235"/>
      <c r="E507" s="236"/>
      <c r="F507" s="5"/>
    </row>
    <row r="510" spans="1:6" x14ac:dyDescent="0.35">
      <c r="B510" s="5"/>
      <c r="C510" s="5"/>
      <c r="D510" s="5"/>
      <c r="E510" s="236"/>
      <c r="F510" s="5"/>
    </row>
    <row r="513" spans="1:4" ht="18.5" x14ac:dyDescent="0.45">
      <c r="A513" s="203"/>
      <c r="B513" s="203"/>
      <c r="C513" s="203"/>
      <c r="D513" s="203"/>
    </row>
    <row r="514" spans="1:4" ht="18.5" x14ac:dyDescent="0.45">
      <c r="A514" s="203"/>
      <c r="B514" s="203"/>
      <c r="C514" s="203"/>
      <c r="D514" s="203"/>
    </row>
    <row r="515" spans="1:4" ht="18.5" x14ac:dyDescent="0.45">
      <c r="B515" s="203"/>
      <c r="C515" s="203"/>
      <c r="D515" s="203"/>
    </row>
    <row r="516" spans="1:4" ht="18.5" x14ac:dyDescent="0.45">
      <c r="B516" s="203"/>
      <c r="C516" s="203"/>
      <c r="D516" s="203"/>
    </row>
    <row r="517" spans="1:4" ht="18.5" x14ac:dyDescent="0.45">
      <c r="B517" s="203"/>
      <c r="C517" s="203"/>
      <c r="D517" s="203"/>
    </row>
    <row r="518" spans="1:4" ht="18.5" x14ac:dyDescent="0.45">
      <c r="B518" s="203"/>
      <c r="C518" s="203"/>
      <c r="D518" s="203"/>
    </row>
    <row r="519" spans="1:4" ht="18.5" x14ac:dyDescent="0.45">
      <c r="A519" s="203"/>
      <c r="B519" s="203"/>
      <c r="C519" s="203"/>
      <c r="D519" s="203"/>
    </row>
    <row r="520" spans="1:4" x14ac:dyDescent="0.35">
      <c r="A520" s="5"/>
    </row>
    <row r="543" spans="8:8" x14ac:dyDescent="0.35">
      <c r="H543" s="240"/>
    </row>
    <row r="545" spans="2:9" x14ac:dyDescent="0.35">
      <c r="H545" s="240"/>
    </row>
    <row r="551" spans="2:9" x14ac:dyDescent="0.35">
      <c r="H551" s="240"/>
    </row>
    <row r="553" spans="2:9" x14ac:dyDescent="0.35">
      <c r="H553" s="241"/>
    </row>
    <row r="555" spans="2:9" x14ac:dyDescent="0.35">
      <c r="C555" s="242"/>
    </row>
    <row r="556" spans="2:9" x14ac:dyDescent="0.35">
      <c r="C556" s="242"/>
    </row>
    <row r="557" spans="2:9" x14ac:dyDescent="0.35">
      <c r="H557" s="2"/>
      <c r="I557" s="2"/>
    </row>
    <row r="558" spans="2:9" x14ac:dyDescent="0.35">
      <c r="B558" s="2"/>
      <c r="H558" s="2"/>
      <c r="I558" s="2"/>
    </row>
    <row r="559" spans="2:9" x14ac:dyDescent="0.35">
      <c r="D559" s="135"/>
      <c r="E559" s="24"/>
      <c r="G559" s="24"/>
      <c r="H559" s="135"/>
      <c r="I559" s="135"/>
    </row>
    <row r="560" spans="2:9" x14ac:dyDescent="0.35">
      <c r="D560" s="135"/>
      <c r="E560" s="24"/>
      <c r="G560" s="24"/>
      <c r="H560" s="135"/>
      <c r="I560" s="135"/>
    </row>
    <row r="561" spans="4:9" x14ac:dyDescent="0.35">
      <c r="D561" s="135"/>
      <c r="E561" s="24"/>
      <c r="G561" s="24"/>
      <c r="H561" s="135"/>
      <c r="I561" s="135"/>
    </row>
    <row r="562" spans="4:9" x14ac:dyDescent="0.35">
      <c r="D562" s="135"/>
      <c r="E562" s="24"/>
      <c r="G562" s="24"/>
      <c r="H562" s="135"/>
      <c r="I562" s="135"/>
    </row>
    <row r="563" spans="4:9" x14ac:dyDescent="0.35">
      <c r="D563" s="135"/>
      <c r="E563" s="24"/>
      <c r="G563" s="24"/>
      <c r="H563" s="135"/>
      <c r="I563" s="135"/>
    </row>
    <row r="564" spans="4:9" x14ac:dyDescent="0.35">
      <c r="D564" s="135"/>
      <c r="E564" s="24"/>
      <c r="F564" s="24"/>
      <c r="G564" s="24"/>
      <c r="H564" s="135"/>
      <c r="I564" s="135"/>
    </row>
    <row r="565" spans="4:9" x14ac:dyDescent="0.35">
      <c r="D565" s="135"/>
      <c r="E565" s="24"/>
      <c r="G565" s="24"/>
      <c r="H565" s="135"/>
      <c r="I565" s="135"/>
    </row>
    <row r="566" spans="4:9" x14ac:dyDescent="0.35">
      <c r="D566" s="135"/>
      <c r="E566" s="24"/>
      <c r="G566" s="24"/>
      <c r="H566" s="135"/>
      <c r="I566" s="135"/>
    </row>
    <row r="567" spans="4:9" x14ac:dyDescent="0.35">
      <c r="D567" s="135"/>
      <c r="E567" s="24"/>
      <c r="G567" s="24"/>
      <c r="H567" s="135"/>
      <c r="I567" s="135"/>
    </row>
    <row r="568" spans="4:9" x14ac:dyDescent="0.35">
      <c r="D568" s="135"/>
      <c r="E568" s="24"/>
      <c r="G568" s="24"/>
      <c r="H568" s="135"/>
      <c r="I568" s="135"/>
    </row>
    <row r="569" spans="4:9" x14ac:dyDescent="0.35">
      <c r="D569" s="135"/>
      <c r="E569" s="24"/>
      <c r="F569" s="24"/>
      <c r="G569" s="24"/>
      <c r="H569" s="135"/>
      <c r="I569" s="135"/>
    </row>
    <row r="570" spans="4:9" x14ac:dyDescent="0.35">
      <c r="D570" s="135"/>
      <c r="E570" s="24"/>
      <c r="G570" s="24"/>
      <c r="H570" s="135"/>
      <c r="I570" s="135"/>
    </row>
    <row r="571" spans="4:9" x14ac:dyDescent="0.35">
      <c r="D571" s="135"/>
      <c r="E571" s="24"/>
      <c r="G571" s="24"/>
      <c r="H571" s="135"/>
      <c r="I571" s="135"/>
    </row>
    <row r="572" spans="4:9" x14ac:dyDescent="0.35">
      <c r="D572" s="135"/>
      <c r="E572" s="24"/>
      <c r="G572" s="24"/>
      <c r="H572" s="135"/>
      <c r="I572" s="135"/>
    </row>
    <row r="573" spans="4:9" x14ac:dyDescent="0.35">
      <c r="D573" s="135"/>
      <c r="E573" s="24"/>
      <c r="G573" s="24"/>
      <c r="H573" s="135"/>
      <c r="I573" s="135"/>
    </row>
    <row r="574" spans="4:9" x14ac:dyDescent="0.35">
      <c r="D574" s="135"/>
      <c r="E574" s="24"/>
      <c r="F574" s="24"/>
      <c r="G574" s="24"/>
      <c r="H574" s="135"/>
      <c r="I574" s="135"/>
    </row>
    <row r="575" spans="4:9" x14ac:dyDescent="0.35">
      <c r="D575" s="135"/>
      <c r="E575" s="24"/>
      <c r="G575" s="24"/>
      <c r="H575" s="135"/>
      <c r="I575" s="135"/>
    </row>
    <row r="576" spans="4:9" x14ac:dyDescent="0.35">
      <c r="D576" s="135"/>
      <c r="E576" s="24"/>
      <c r="G576" s="24"/>
      <c r="H576" s="135"/>
      <c r="I576" s="135"/>
    </row>
    <row r="577" spans="1:9" x14ac:dyDescent="0.35">
      <c r="D577" s="135"/>
      <c r="E577" s="24"/>
      <c r="G577" s="24"/>
      <c r="H577" s="135"/>
      <c r="I577" s="135"/>
    </row>
    <row r="578" spans="1:9" x14ac:dyDescent="0.35">
      <c r="D578" s="135"/>
      <c r="E578" s="24"/>
      <c r="G578" s="24"/>
      <c r="H578" s="135"/>
      <c r="I578" s="135"/>
    </row>
    <row r="579" spans="1:9" x14ac:dyDescent="0.35">
      <c r="D579" s="135"/>
      <c r="E579" s="24"/>
      <c r="G579" s="24"/>
      <c r="H579" s="135"/>
      <c r="I579" s="135"/>
    </row>
    <row r="581" spans="1:9" x14ac:dyDescent="0.35">
      <c r="I581" s="243"/>
    </row>
    <row r="583" spans="1:9" ht="18.5" x14ac:dyDescent="0.45">
      <c r="A583" s="244"/>
      <c r="F583" s="245"/>
    </row>
    <row r="587" spans="1:9" ht="18.5" x14ac:dyDescent="0.45">
      <c r="A587" s="203"/>
    </row>
    <row r="589" spans="1:9" x14ac:dyDescent="0.35">
      <c r="H589" s="216"/>
    </row>
    <row r="600" spans="9:9" x14ac:dyDescent="0.35">
      <c r="I600" s="216"/>
    </row>
    <row r="601" spans="9:9" x14ac:dyDescent="0.35">
      <c r="I601" s="216"/>
    </row>
  </sheetData>
  <mergeCells count="19">
    <mergeCell ref="A467:B467"/>
    <mergeCell ref="A470:B470"/>
    <mergeCell ref="B504:D504"/>
    <mergeCell ref="A472:B472"/>
    <mergeCell ref="B481:D481"/>
    <mergeCell ref="B482:D482"/>
    <mergeCell ref="A493:B493"/>
    <mergeCell ref="A494:B494"/>
    <mergeCell ref="B503:D503"/>
    <mergeCell ref="C271:D271"/>
    <mergeCell ref="D339:E339"/>
    <mergeCell ref="D340:E340"/>
    <mergeCell ref="D341:E341"/>
    <mergeCell ref="D342:E342"/>
    <mergeCell ref="C266:D266"/>
    <mergeCell ref="C267:D267"/>
    <mergeCell ref="C268:D268"/>
    <mergeCell ref="C269:D269"/>
    <mergeCell ref="C270:D27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499984740745262"/>
  </sheetPr>
  <dimension ref="A1:L655"/>
  <sheetViews>
    <sheetView zoomScale="85" zoomScaleNormal="85" workbookViewId="0">
      <selection activeCell="I58" sqref="I58"/>
    </sheetView>
  </sheetViews>
  <sheetFormatPr defaultRowHeight="14.5" x14ac:dyDescent="0.35"/>
  <cols>
    <col min="1" max="1" width="26" customWidth="1"/>
    <col min="2" max="2" width="20.1796875" customWidth="1"/>
    <col min="3" max="3" width="19.1796875" customWidth="1"/>
    <col min="4" max="4" width="19.453125" customWidth="1"/>
    <col min="5" max="5" width="18.7265625" customWidth="1"/>
    <col min="6" max="6" width="17.7265625" customWidth="1"/>
    <col min="7" max="7" width="16.453125" customWidth="1"/>
    <col min="8" max="8" width="14" bestFit="1" customWidth="1"/>
    <col min="9" max="9" width="17.54296875" bestFit="1" customWidth="1"/>
    <col min="10" max="10" width="12.453125" customWidth="1"/>
    <col min="11" max="11" width="13.453125" customWidth="1"/>
    <col min="12" max="12" width="12.54296875" bestFit="1" customWidth="1"/>
    <col min="15" max="15" width="8.7265625" customWidth="1"/>
  </cols>
  <sheetData>
    <row r="1" spans="1:8" x14ac:dyDescent="0.35">
      <c r="A1" s="307" t="s">
        <v>0</v>
      </c>
    </row>
    <row r="2" spans="1:8" x14ac:dyDescent="0.35">
      <c r="A2" s="308" t="s">
        <v>1</v>
      </c>
    </row>
    <row r="3" spans="1:8" x14ac:dyDescent="0.35">
      <c r="A3" s="308" t="s">
        <v>971</v>
      </c>
    </row>
    <row r="4" spans="1:8" x14ac:dyDescent="0.35">
      <c r="A4" s="309" t="s">
        <v>1546</v>
      </c>
    </row>
    <row r="5" spans="1:8" x14ac:dyDescent="0.35">
      <c r="A5" s="313"/>
    </row>
    <row r="6" spans="1:8" ht="19" thickBot="1" x14ac:dyDescent="0.5">
      <c r="A6" s="125" t="s">
        <v>1332</v>
      </c>
      <c r="B6" s="95"/>
      <c r="C6" s="95"/>
    </row>
    <row r="7" spans="1:8" x14ac:dyDescent="0.35">
      <c r="A7" s="341" t="s">
        <v>1310</v>
      </c>
      <c r="B7" s="8"/>
      <c r="C7" s="8"/>
      <c r="D7" s="8"/>
      <c r="E7" s="8"/>
      <c r="F7" s="8"/>
      <c r="G7" s="8"/>
      <c r="H7" s="17"/>
    </row>
    <row r="8" spans="1:8" x14ac:dyDescent="0.35">
      <c r="A8" s="11" t="s">
        <v>651</v>
      </c>
      <c r="H8" s="18"/>
    </row>
    <row r="9" spans="1:8" x14ac:dyDescent="0.35">
      <c r="A9" s="11"/>
      <c r="B9" t="s">
        <v>1288</v>
      </c>
      <c r="H9" s="18"/>
    </row>
    <row r="10" spans="1:8" x14ac:dyDescent="0.35">
      <c r="A10" s="11"/>
      <c r="C10" t="s">
        <v>565</v>
      </c>
      <c r="G10" s="230">
        <f>E174</f>
        <v>10000</v>
      </c>
      <c r="H10" s="18"/>
    </row>
    <row r="11" spans="1:8" x14ac:dyDescent="0.35">
      <c r="A11" s="11"/>
      <c r="C11" t="s">
        <v>566</v>
      </c>
      <c r="G11" s="230">
        <f>D204</f>
        <v>52000</v>
      </c>
      <c r="H11" s="18"/>
    </row>
    <row r="12" spans="1:8" x14ac:dyDescent="0.35">
      <c r="A12" s="11"/>
      <c r="C12" t="s">
        <v>1289</v>
      </c>
      <c r="G12" s="231">
        <f>E362</f>
        <v>2587646.836639347</v>
      </c>
      <c r="H12" s="18"/>
    </row>
    <row r="13" spans="1:8" x14ac:dyDescent="0.35">
      <c r="A13" s="11"/>
      <c r="G13" s="26">
        <f>SUM(G10:G12)</f>
        <v>2649646.836639347</v>
      </c>
      <c r="H13" s="18"/>
    </row>
    <row r="14" spans="1:8" x14ac:dyDescent="0.35">
      <c r="A14" s="11"/>
      <c r="B14" t="s">
        <v>571</v>
      </c>
      <c r="H14" s="18"/>
    </row>
    <row r="15" spans="1:8" x14ac:dyDescent="0.35">
      <c r="A15" s="11"/>
      <c r="C15" t="s">
        <v>1305</v>
      </c>
      <c r="G15" s="109">
        <f>D534</f>
        <v>80290.81</v>
      </c>
      <c r="H15" s="18"/>
    </row>
    <row r="16" spans="1:8" x14ac:dyDescent="0.35">
      <c r="A16" s="11"/>
      <c r="C16" t="s">
        <v>534</v>
      </c>
      <c r="G16" s="97">
        <f>D556</f>
        <v>25000</v>
      </c>
      <c r="H16" s="18"/>
    </row>
    <row r="17" spans="1:9" x14ac:dyDescent="0.35">
      <c r="A17" s="11"/>
      <c r="G17" s="26">
        <f>SUM(G15:G16)</f>
        <v>105290.81</v>
      </c>
      <c r="H17" s="18"/>
    </row>
    <row r="18" spans="1:9" x14ac:dyDescent="0.35">
      <c r="A18" s="11"/>
      <c r="G18" s="26"/>
      <c r="H18" s="18"/>
    </row>
    <row r="19" spans="1:9" x14ac:dyDescent="0.35">
      <c r="A19" s="11"/>
      <c r="B19" t="s">
        <v>579</v>
      </c>
      <c r="D19" t="s">
        <v>1252</v>
      </c>
      <c r="G19" s="26">
        <f>D565</f>
        <v>0</v>
      </c>
      <c r="H19" s="18"/>
    </row>
    <row r="20" spans="1:9" x14ac:dyDescent="0.35">
      <c r="A20" s="11"/>
      <c r="G20" s="26"/>
      <c r="H20" s="18"/>
    </row>
    <row r="21" spans="1:9" x14ac:dyDescent="0.35">
      <c r="A21" s="11"/>
      <c r="B21" t="s">
        <v>573</v>
      </c>
      <c r="G21" s="26">
        <f>C591</f>
        <v>500000</v>
      </c>
      <c r="H21" s="18"/>
    </row>
    <row r="22" spans="1:9" x14ac:dyDescent="0.35">
      <c r="A22" s="11"/>
      <c r="G22" s="26"/>
      <c r="H22" s="18"/>
    </row>
    <row r="23" spans="1:9" x14ac:dyDescent="0.35">
      <c r="A23" s="11"/>
      <c r="B23" t="s">
        <v>647</v>
      </c>
      <c r="H23" s="18"/>
    </row>
    <row r="24" spans="1:9" x14ac:dyDescent="0.35">
      <c r="A24" s="11"/>
      <c r="C24" t="s">
        <v>597</v>
      </c>
      <c r="G24" s="26">
        <f>E607</f>
        <v>0</v>
      </c>
      <c r="H24" s="18"/>
      <c r="I24" s="11" t="s">
        <v>711</v>
      </c>
    </row>
    <row r="25" spans="1:9" x14ac:dyDescent="0.35">
      <c r="A25" s="11"/>
      <c r="C25" t="s">
        <v>596</v>
      </c>
      <c r="G25" s="26">
        <f>E618</f>
        <v>0</v>
      </c>
      <c r="H25" s="18"/>
      <c r="I25" s="11" t="s">
        <v>711</v>
      </c>
    </row>
    <row r="26" spans="1:9" x14ac:dyDescent="0.35">
      <c r="A26" s="11"/>
      <c r="C26" t="s">
        <v>595</v>
      </c>
      <c r="G26" s="26">
        <f>E639</f>
        <v>0</v>
      </c>
      <c r="H26" s="18"/>
      <c r="I26" s="11" t="s">
        <v>711</v>
      </c>
    </row>
    <row r="27" spans="1:9" x14ac:dyDescent="0.35">
      <c r="A27" s="11"/>
      <c r="C27" t="s">
        <v>625</v>
      </c>
      <c r="G27" s="97">
        <f>F649</f>
        <v>25000</v>
      </c>
      <c r="H27" s="18"/>
    </row>
    <row r="28" spans="1:9" x14ac:dyDescent="0.35">
      <c r="A28" s="11"/>
      <c r="G28" s="26">
        <f>SUM(G24:G27)</f>
        <v>25000</v>
      </c>
      <c r="H28" s="18"/>
    </row>
    <row r="29" spans="1:9" x14ac:dyDescent="0.35">
      <c r="A29" s="11"/>
      <c r="G29" s="26"/>
      <c r="H29" s="18"/>
    </row>
    <row r="30" spans="1:9" x14ac:dyDescent="0.35">
      <c r="A30" s="11"/>
      <c r="B30" t="s">
        <v>692</v>
      </c>
      <c r="G30" s="26">
        <f>D192</f>
        <v>334866</v>
      </c>
      <c r="H30" s="18"/>
    </row>
    <row r="31" spans="1:9" x14ac:dyDescent="0.35">
      <c r="A31" s="11"/>
      <c r="G31" s="26"/>
      <c r="H31" s="18"/>
    </row>
    <row r="32" spans="1:9" x14ac:dyDescent="0.35">
      <c r="A32" s="11"/>
      <c r="B32" s="20" t="s">
        <v>1500</v>
      </c>
      <c r="C32" s="20"/>
      <c r="D32" s="20"/>
      <c r="E32" s="20"/>
      <c r="F32" s="20"/>
      <c r="G32" s="97"/>
      <c r="H32" s="18"/>
    </row>
    <row r="33" spans="1:8" x14ac:dyDescent="0.35">
      <c r="A33" s="11"/>
      <c r="H33" s="18"/>
    </row>
    <row r="34" spans="1:8" x14ac:dyDescent="0.35">
      <c r="A34" s="11"/>
      <c r="C34" s="5" t="s">
        <v>1251</v>
      </c>
      <c r="G34" s="342">
        <f>I84</f>
        <v>15701235.022976451</v>
      </c>
      <c r="H34" s="18"/>
    </row>
    <row r="35" spans="1:8" ht="15" thickBot="1" x14ac:dyDescent="0.4">
      <c r="A35" s="13"/>
      <c r="B35" s="14"/>
      <c r="C35" s="409" t="s">
        <v>1193</v>
      </c>
      <c r="D35" s="14"/>
      <c r="E35" s="14"/>
      <c r="F35" s="409"/>
      <c r="G35" s="410">
        <f>34*500</f>
        <v>17000</v>
      </c>
      <c r="H35" s="19"/>
    </row>
    <row r="37" spans="1:8" x14ac:dyDescent="0.35">
      <c r="A37" s="414" t="s">
        <v>1022</v>
      </c>
      <c r="B37" s="60"/>
      <c r="C37" s="60"/>
      <c r="D37" s="60"/>
      <c r="E37" s="60"/>
      <c r="F37" s="60"/>
      <c r="G37" s="60"/>
      <c r="H37" s="60"/>
    </row>
    <row r="38" spans="1:8" x14ac:dyDescent="0.35">
      <c r="A38" s="48" t="s">
        <v>995</v>
      </c>
      <c r="B38" s="60"/>
      <c r="C38" s="433" t="s">
        <v>1196</v>
      </c>
      <c r="D38" s="433" t="s">
        <v>1216</v>
      </c>
      <c r="E38" s="433" t="s">
        <v>1217</v>
      </c>
      <c r="F38" s="433" t="s">
        <v>1197</v>
      </c>
      <c r="G38" s="433" t="s">
        <v>992</v>
      </c>
      <c r="H38" s="60"/>
    </row>
    <row r="39" spans="1:8" x14ac:dyDescent="0.35">
      <c r="A39" s="60" t="s">
        <v>1019</v>
      </c>
      <c r="B39" s="60"/>
      <c r="C39" s="438">
        <v>80.680009335378159</v>
      </c>
      <c r="D39" s="438"/>
      <c r="E39" s="438"/>
      <c r="F39" s="438"/>
      <c r="G39" s="438">
        <v>80.680009335378159</v>
      </c>
      <c r="H39" s="60"/>
    </row>
    <row r="40" spans="1:8" x14ac:dyDescent="0.35">
      <c r="A40" s="60" t="s">
        <v>1020</v>
      </c>
      <c r="B40" s="60"/>
      <c r="C40" s="438">
        <v>83.880736376009324</v>
      </c>
      <c r="D40" s="438"/>
      <c r="E40" s="438"/>
      <c r="F40" s="438"/>
      <c r="G40" s="438">
        <v>83.880736376009324</v>
      </c>
      <c r="H40" s="60"/>
    </row>
    <row r="41" spans="1:8" x14ac:dyDescent="0.35">
      <c r="A41" s="60" t="s">
        <v>1021</v>
      </c>
      <c r="B41" s="60"/>
      <c r="C41" s="438">
        <v>369.51792669270696</v>
      </c>
      <c r="D41" s="438"/>
      <c r="E41" s="438"/>
      <c r="F41" s="438">
        <v>34.065190811976699</v>
      </c>
      <c r="G41" s="438">
        <v>403.58311750468368</v>
      </c>
      <c r="H41" s="60"/>
    </row>
    <row r="42" spans="1:8" x14ac:dyDescent="0.35">
      <c r="A42" s="60" t="s">
        <v>1097</v>
      </c>
      <c r="B42" s="60"/>
      <c r="C42" s="438">
        <v>4.5748874910940556</v>
      </c>
      <c r="D42" s="438"/>
      <c r="E42" s="438"/>
      <c r="F42" s="438"/>
      <c r="G42" s="438">
        <v>4.5748874910940556</v>
      </c>
      <c r="H42" s="60"/>
    </row>
    <row r="43" spans="1:8" x14ac:dyDescent="0.35">
      <c r="A43" s="60"/>
      <c r="B43" s="224" t="s">
        <v>1109</v>
      </c>
      <c r="C43" s="128"/>
      <c r="D43" s="128"/>
      <c r="E43" s="128"/>
      <c r="F43" s="432">
        <f>34*500</f>
        <v>17000</v>
      </c>
      <c r="G43" s="128"/>
      <c r="H43" s="60"/>
    </row>
    <row r="44" spans="1:8" x14ac:dyDescent="0.35">
      <c r="A44" s="60"/>
      <c r="B44" s="224" t="s">
        <v>1110</v>
      </c>
      <c r="C44" s="128">
        <f>SUM(C39:C42)</f>
        <v>538.65355989518855</v>
      </c>
      <c r="D44" s="128"/>
      <c r="E44" s="128"/>
      <c r="F44" s="432"/>
      <c r="G44" s="128"/>
      <c r="H44" s="60"/>
    </row>
    <row r="45" spans="1:8" x14ac:dyDescent="0.35">
      <c r="A45" s="60"/>
      <c r="B45" s="60"/>
      <c r="C45" s="60"/>
      <c r="D45" s="60"/>
      <c r="E45" s="60"/>
      <c r="F45" s="60"/>
      <c r="G45" s="230"/>
      <c r="H45" s="60"/>
    </row>
    <row r="46" spans="1:8" x14ac:dyDescent="0.35">
      <c r="G46" s="26"/>
    </row>
    <row r="48" spans="1:8" x14ac:dyDescent="0.35">
      <c r="A48" s="138" t="s">
        <v>1253</v>
      </c>
    </row>
    <row r="49" spans="1:12" x14ac:dyDescent="0.35">
      <c r="A49" t="s">
        <v>440</v>
      </c>
      <c r="B49" s="136">
        <v>0.02</v>
      </c>
      <c r="E49" s="106"/>
      <c r="F49" s="106"/>
      <c r="G49" s="106"/>
      <c r="H49" s="106"/>
      <c r="I49" s="106"/>
    </row>
    <row r="50" spans="1:12" x14ac:dyDescent="0.35">
      <c r="A50" t="s">
        <v>441</v>
      </c>
      <c r="B50" s="136">
        <v>0.03</v>
      </c>
      <c r="D50" s="457"/>
      <c r="E50" s="106"/>
      <c r="F50" s="106"/>
      <c r="G50" s="106"/>
      <c r="H50" s="3" t="s">
        <v>442</v>
      </c>
      <c r="I50" s="3" t="s">
        <v>444</v>
      </c>
    </row>
    <row r="51" spans="1:12" ht="29" x14ac:dyDescent="0.35">
      <c r="B51" s="2" t="s">
        <v>345</v>
      </c>
      <c r="D51" s="106" t="s">
        <v>438</v>
      </c>
      <c r="E51" s="106" t="s">
        <v>439</v>
      </c>
      <c r="F51" s="106" t="s">
        <v>437</v>
      </c>
      <c r="G51" s="106" t="s">
        <v>650</v>
      </c>
      <c r="H51" s="3" t="s">
        <v>443</v>
      </c>
      <c r="I51" s="3" t="s">
        <v>443</v>
      </c>
    </row>
    <row r="52" spans="1:12" x14ac:dyDescent="0.35">
      <c r="B52" s="60">
        <v>2026</v>
      </c>
      <c r="D52" s="230">
        <f>G30</f>
        <v>334866</v>
      </c>
      <c r="E52" s="24">
        <f>$G$28+$G$17</f>
        <v>130290.81</v>
      </c>
      <c r="G52" s="24">
        <f>D52+E52+F52</f>
        <v>465156.81</v>
      </c>
      <c r="H52" s="135">
        <f>G52</f>
        <v>465156.81</v>
      </c>
      <c r="I52" s="135">
        <f>($H52)*(((1)/((1+$B$50)^($B52-$B$52))))</f>
        <v>465156.81</v>
      </c>
    </row>
    <row r="53" spans="1:12" x14ac:dyDescent="0.35">
      <c r="B53" s="60">
        <f>+B52+1</f>
        <v>2027</v>
      </c>
      <c r="D53" s="135"/>
      <c r="E53" s="24">
        <f t="shared" ref="E53:E81" si="0">$G$28+$G$17</f>
        <v>130290.81</v>
      </c>
      <c r="G53" s="24">
        <f t="shared" ref="G53:G70" si="1">D53+E53+F53</f>
        <v>130290.81</v>
      </c>
      <c r="H53" s="135">
        <f t="shared" ref="H53:H81" si="2">(G53)*((1+$B$49)^($B53-$B$52))</f>
        <v>132896.6262</v>
      </c>
      <c r="I53" s="135">
        <f>($H53)*(((1)/((1+$B$50)^($B53-$B$52))))</f>
        <v>129025.85067961166</v>
      </c>
    </row>
    <row r="54" spans="1:12" x14ac:dyDescent="0.35">
      <c r="B54" s="60">
        <f t="shared" ref="B54:B81" si="3">+B53+1</f>
        <v>2028</v>
      </c>
      <c r="D54" s="135"/>
      <c r="E54" s="24">
        <f t="shared" si="0"/>
        <v>130290.81</v>
      </c>
      <c r="G54" s="24">
        <f t="shared" si="1"/>
        <v>130290.81</v>
      </c>
      <c r="H54" s="135">
        <f t="shared" si="2"/>
        <v>135554.558724</v>
      </c>
      <c r="I54" s="135">
        <f t="shared" ref="I54:I81" si="4">($H54)*(((1)/((1+$B$50)^($B54-$B$52))))</f>
        <v>127773.17251767368</v>
      </c>
    </row>
    <row r="55" spans="1:12" x14ac:dyDescent="0.35">
      <c r="B55" s="60">
        <f t="shared" si="3"/>
        <v>2029</v>
      </c>
      <c r="D55" s="135"/>
      <c r="E55" s="24">
        <f t="shared" si="0"/>
        <v>130290.81</v>
      </c>
      <c r="G55" s="24">
        <f t="shared" si="1"/>
        <v>130290.81</v>
      </c>
      <c r="H55" s="135">
        <f t="shared" si="2"/>
        <v>138265.64989847998</v>
      </c>
      <c r="I55" s="135">
        <f t="shared" si="4"/>
        <v>126532.656279638</v>
      </c>
    </row>
    <row r="56" spans="1:12" x14ac:dyDescent="0.35">
      <c r="B56" s="60">
        <f t="shared" si="3"/>
        <v>2030</v>
      </c>
      <c r="D56" s="135"/>
      <c r="E56" s="24">
        <f t="shared" si="0"/>
        <v>130290.81</v>
      </c>
      <c r="F56" s="24">
        <f>$G$13</f>
        <v>2649646.836639347</v>
      </c>
      <c r="G56" s="24">
        <f>+D56+E56+F56</f>
        <v>2779937.6466393471</v>
      </c>
      <c r="H56" s="135">
        <f t="shared" si="2"/>
        <v>3009093.9115171451</v>
      </c>
      <c r="I56" s="135">
        <f>($H56)*(((1)/((1+$B$50)^($B56-$B$52))))</f>
        <v>2673540.9663449419</v>
      </c>
      <c r="L56" s="217"/>
    </row>
    <row r="57" spans="1:12" x14ac:dyDescent="0.35">
      <c r="B57" s="60">
        <f t="shared" si="3"/>
        <v>2031</v>
      </c>
      <c r="D57" s="135"/>
      <c r="E57" s="24">
        <f t="shared" si="0"/>
        <v>130290.81</v>
      </c>
      <c r="G57" s="24">
        <f>D57+E57+F57</f>
        <v>130290.81</v>
      </c>
      <c r="H57" s="135">
        <f t="shared" si="2"/>
        <v>143851.58215437859</v>
      </c>
      <c r="I57" s="135">
        <f>($H57)*(((1)/((1+$B$50)^($B57-$B$52))))</f>
        <v>124087.63841392723</v>
      </c>
      <c r="L57" s="107"/>
    </row>
    <row r="58" spans="1:12" x14ac:dyDescent="0.35">
      <c r="B58" s="60">
        <f t="shared" si="3"/>
        <v>2032</v>
      </c>
      <c r="D58" s="135"/>
      <c r="E58" s="24">
        <f t="shared" si="0"/>
        <v>130290.81</v>
      </c>
      <c r="G58" s="24">
        <f t="shared" si="1"/>
        <v>130290.81</v>
      </c>
      <c r="H58" s="135">
        <f t="shared" si="2"/>
        <v>146728.61379746618</v>
      </c>
      <c r="I58" s="135">
        <f t="shared" si="4"/>
        <v>122882.90406039396</v>
      </c>
      <c r="K58" s="135"/>
      <c r="L58" s="107"/>
    </row>
    <row r="59" spans="1:12" x14ac:dyDescent="0.35">
      <c r="B59" s="60">
        <f t="shared" si="3"/>
        <v>2033</v>
      </c>
      <c r="D59" s="135"/>
      <c r="E59" s="24">
        <f t="shared" si="0"/>
        <v>130290.81</v>
      </c>
      <c r="G59" s="24">
        <f t="shared" si="1"/>
        <v>130290.81</v>
      </c>
      <c r="H59" s="135">
        <f t="shared" si="2"/>
        <v>149663.18607341545</v>
      </c>
      <c r="I59" s="135">
        <f t="shared" si="4"/>
        <v>121689.86615689495</v>
      </c>
      <c r="L59" s="107"/>
    </row>
    <row r="60" spans="1:12" x14ac:dyDescent="0.35">
      <c r="B60" s="60">
        <f t="shared" si="3"/>
        <v>2034</v>
      </c>
      <c r="D60" s="135"/>
      <c r="E60" s="24">
        <f t="shared" si="0"/>
        <v>130290.81</v>
      </c>
      <c r="G60" s="24">
        <f t="shared" si="1"/>
        <v>130290.81</v>
      </c>
      <c r="H60" s="135">
        <f t="shared" si="2"/>
        <v>152656.44979488378</v>
      </c>
      <c r="I60" s="135">
        <f t="shared" si="4"/>
        <v>120508.41114566298</v>
      </c>
      <c r="L60" s="107"/>
    </row>
    <row r="61" spans="1:12" x14ac:dyDescent="0.35">
      <c r="B61" s="60">
        <f t="shared" si="3"/>
        <v>2035</v>
      </c>
      <c r="D61" s="135"/>
      <c r="E61" s="24">
        <f t="shared" si="0"/>
        <v>130290.81</v>
      </c>
      <c r="F61" s="24">
        <f>$G$13</f>
        <v>2649646.836639347</v>
      </c>
      <c r="G61" s="24">
        <f t="shared" si="1"/>
        <v>2779937.6466393471</v>
      </c>
      <c r="H61" s="135">
        <f t="shared" si="2"/>
        <v>3322282.8227320793</v>
      </c>
      <c r="I61" s="135">
        <f t="shared" si="4"/>
        <v>2546253.1449196814</v>
      </c>
      <c r="L61" s="217"/>
    </row>
    <row r="62" spans="1:12" x14ac:dyDescent="0.35">
      <c r="B62" s="60">
        <f t="shared" si="3"/>
        <v>2036</v>
      </c>
      <c r="D62" s="135"/>
      <c r="E62" s="24">
        <f t="shared" si="0"/>
        <v>130290.81</v>
      </c>
      <c r="F62" s="24"/>
      <c r="G62" s="24">
        <f t="shared" si="1"/>
        <v>130290.81</v>
      </c>
      <c r="H62" s="135">
        <f t="shared" si="2"/>
        <v>158823.77036659711</v>
      </c>
      <c r="I62" s="135">
        <f t="shared" si="4"/>
        <v>118179.80107073973</v>
      </c>
      <c r="L62" s="107"/>
    </row>
    <row r="63" spans="1:12" x14ac:dyDescent="0.35">
      <c r="B63" s="60">
        <f t="shared" si="3"/>
        <v>2037</v>
      </c>
      <c r="D63" s="135"/>
      <c r="E63" s="24">
        <f t="shared" si="0"/>
        <v>130290.81</v>
      </c>
      <c r="G63" s="24">
        <f t="shared" si="1"/>
        <v>130290.81</v>
      </c>
      <c r="H63" s="135">
        <f t="shared" si="2"/>
        <v>162000.245773929</v>
      </c>
      <c r="I63" s="135">
        <f t="shared" si="4"/>
        <v>117032.42436131503</v>
      </c>
      <c r="L63" s="107"/>
    </row>
    <row r="64" spans="1:12" x14ac:dyDescent="0.35">
      <c r="B64" s="60">
        <f t="shared" si="3"/>
        <v>2038</v>
      </c>
      <c r="D64" s="135"/>
      <c r="E64" s="24">
        <f t="shared" si="0"/>
        <v>130290.81</v>
      </c>
      <c r="G64" s="24">
        <f t="shared" si="1"/>
        <v>130290.81</v>
      </c>
      <c r="H64" s="135">
        <f t="shared" si="2"/>
        <v>165240.25068940761</v>
      </c>
      <c r="I64" s="135">
        <f t="shared" si="4"/>
        <v>115896.18723159358</v>
      </c>
      <c r="L64" s="107"/>
    </row>
    <row r="65" spans="2:12" x14ac:dyDescent="0.35">
      <c r="B65" s="60">
        <f t="shared" si="3"/>
        <v>2039</v>
      </c>
      <c r="D65" s="135"/>
      <c r="E65" s="24">
        <f t="shared" si="0"/>
        <v>130290.81</v>
      </c>
      <c r="G65" s="24">
        <f t="shared" si="1"/>
        <v>130290.81</v>
      </c>
      <c r="H65" s="135">
        <f t="shared" si="2"/>
        <v>168545.05570319574</v>
      </c>
      <c r="I65" s="135">
        <f t="shared" si="4"/>
        <v>114770.98153031596</v>
      </c>
      <c r="L65" s="107"/>
    </row>
    <row r="66" spans="2:12" x14ac:dyDescent="0.35">
      <c r="B66" s="60">
        <f t="shared" si="3"/>
        <v>2040</v>
      </c>
      <c r="D66" s="135"/>
      <c r="E66" s="24">
        <f t="shared" si="0"/>
        <v>130290.81</v>
      </c>
      <c r="F66" s="24">
        <f>$G$13</f>
        <v>2649646.836639347</v>
      </c>
      <c r="G66" s="190">
        <f>D66+E66+F66</f>
        <v>2779937.6466393471</v>
      </c>
      <c r="H66" s="135">
        <f t="shared" si="2"/>
        <v>3668068.6873795972</v>
      </c>
      <c r="I66" s="135">
        <f t="shared" si="4"/>
        <v>2425025.5221923823</v>
      </c>
      <c r="L66" s="217"/>
    </row>
    <row r="67" spans="2:12" x14ac:dyDescent="0.35">
      <c r="B67" s="60">
        <f t="shared" si="3"/>
        <v>2041</v>
      </c>
      <c r="D67" s="135"/>
      <c r="E67" s="24">
        <f t="shared" si="0"/>
        <v>130290.81</v>
      </c>
      <c r="F67" s="24"/>
      <c r="G67" s="24">
        <f t="shared" si="1"/>
        <v>130290.81</v>
      </c>
      <c r="H67" s="135">
        <f t="shared" si="2"/>
        <v>175354.27595360484</v>
      </c>
      <c r="I67" s="135">
        <f t="shared" si="4"/>
        <v>112553.23704792222</v>
      </c>
      <c r="L67" s="107"/>
    </row>
    <row r="68" spans="2:12" x14ac:dyDescent="0.35">
      <c r="B68" s="60">
        <f t="shared" si="3"/>
        <v>2042</v>
      </c>
      <c r="D68" s="135"/>
      <c r="E68" s="24">
        <f t="shared" si="0"/>
        <v>130290.81</v>
      </c>
      <c r="G68" s="24">
        <f t="shared" si="1"/>
        <v>130290.81</v>
      </c>
      <c r="H68" s="135">
        <f t="shared" si="2"/>
        <v>178861.36147267697</v>
      </c>
      <c r="I68" s="135">
        <f t="shared" si="4"/>
        <v>111460.4871736706</v>
      </c>
      <c r="L68" s="107"/>
    </row>
    <row r="69" spans="2:12" x14ac:dyDescent="0.35">
      <c r="B69" s="60">
        <f t="shared" si="3"/>
        <v>2043</v>
      </c>
      <c r="D69" s="135"/>
      <c r="E69" s="24">
        <f t="shared" si="0"/>
        <v>130290.81</v>
      </c>
      <c r="G69" s="24">
        <f t="shared" si="1"/>
        <v>130290.81</v>
      </c>
      <c r="H69" s="135">
        <f t="shared" si="2"/>
        <v>182438.58870213051</v>
      </c>
      <c r="I69" s="135">
        <f t="shared" si="4"/>
        <v>110378.34652149903</v>
      </c>
      <c r="L69" s="107"/>
    </row>
    <row r="70" spans="2:12" x14ac:dyDescent="0.35">
      <c r="B70" s="60">
        <f t="shared" si="3"/>
        <v>2044</v>
      </c>
      <c r="D70" s="135"/>
      <c r="E70" s="24">
        <f t="shared" si="0"/>
        <v>130290.81</v>
      </c>
      <c r="G70" s="24">
        <f t="shared" si="1"/>
        <v>130290.81</v>
      </c>
      <c r="H70" s="135">
        <f t="shared" si="2"/>
        <v>186087.36047617311</v>
      </c>
      <c r="I70" s="135">
        <f t="shared" si="4"/>
        <v>109306.71208925146</v>
      </c>
      <c r="L70" s="107"/>
    </row>
    <row r="71" spans="2:12" x14ac:dyDescent="0.35">
      <c r="B71" s="60">
        <f t="shared" si="3"/>
        <v>2045</v>
      </c>
      <c r="E71" s="24">
        <f t="shared" si="0"/>
        <v>130290.81</v>
      </c>
      <c r="F71" s="24">
        <f>$G$13</f>
        <v>2649646.836639347</v>
      </c>
      <c r="G71" s="190">
        <f>D71+E71+F71</f>
        <v>2779937.6466393471</v>
      </c>
      <c r="H71" s="135">
        <f t="shared" si="2"/>
        <v>4049844.222554835</v>
      </c>
      <c r="I71" s="135">
        <f t="shared" si="4"/>
        <v>2309569.5708880262</v>
      </c>
      <c r="L71" s="218"/>
    </row>
    <row r="72" spans="2:12" x14ac:dyDescent="0.35">
      <c r="B72" s="60">
        <f t="shared" si="3"/>
        <v>2046</v>
      </c>
      <c r="E72" s="24">
        <f t="shared" si="0"/>
        <v>130290.81</v>
      </c>
      <c r="G72" s="24">
        <f>D72+E72+F72</f>
        <v>130290.81</v>
      </c>
      <c r="H72" s="135">
        <f t="shared" si="2"/>
        <v>193605.28983941051</v>
      </c>
      <c r="I72" s="135">
        <f t="shared" si="4"/>
        <v>107194.55486629959</v>
      </c>
      <c r="L72" s="107"/>
    </row>
    <row r="73" spans="2:12" x14ac:dyDescent="0.35">
      <c r="B73" s="60">
        <f t="shared" si="3"/>
        <v>2047</v>
      </c>
      <c r="E73" s="24">
        <f t="shared" si="0"/>
        <v>130290.81</v>
      </c>
      <c r="G73" s="24">
        <f t="shared" ref="G73:G80" si="5">D73+E73+F73</f>
        <v>130290.81</v>
      </c>
      <c r="H73" s="135">
        <f t="shared" si="2"/>
        <v>197477.39563619872</v>
      </c>
      <c r="I73" s="135">
        <f t="shared" si="4"/>
        <v>106153.83103264619</v>
      </c>
      <c r="L73" s="107"/>
    </row>
    <row r="74" spans="2:12" x14ac:dyDescent="0.35">
      <c r="B74" s="60">
        <f t="shared" si="3"/>
        <v>2048</v>
      </c>
      <c r="E74" s="24">
        <f t="shared" si="0"/>
        <v>130290.81</v>
      </c>
      <c r="G74" s="24">
        <f t="shared" si="5"/>
        <v>130290.81</v>
      </c>
      <c r="H74" s="135">
        <f t="shared" si="2"/>
        <v>201426.94354892269</v>
      </c>
      <c r="I74" s="135">
        <f t="shared" si="4"/>
        <v>105123.21131388264</v>
      </c>
      <c r="L74" s="107"/>
    </row>
    <row r="75" spans="2:12" x14ac:dyDescent="0.35">
      <c r="B75" s="60">
        <f t="shared" si="3"/>
        <v>2049</v>
      </c>
      <c r="E75" s="24">
        <f t="shared" si="0"/>
        <v>130290.81</v>
      </c>
      <c r="G75" s="24">
        <f t="shared" si="5"/>
        <v>130290.81</v>
      </c>
      <c r="H75" s="135">
        <f t="shared" si="2"/>
        <v>205455.48241990112</v>
      </c>
      <c r="I75" s="135">
        <f t="shared" si="4"/>
        <v>104102.59761180609</v>
      </c>
      <c r="L75" s="107"/>
    </row>
    <row r="76" spans="2:12" x14ac:dyDescent="0.35">
      <c r="B76" s="60">
        <f t="shared" si="3"/>
        <v>2050</v>
      </c>
      <c r="E76" s="24">
        <f t="shared" si="0"/>
        <v>130290.81</v>
      </c>
      <c r="F76" s="24">
        <f>$G$13</f>
        <v>2649646.836639347</v>
      </c>
      <c r="G76" s="24">
        <f t="shared" si="5"/>
        <v>2779937.6466393471</v>
      </c>
      <c r="H76" s="135">
        <f t="shared" si="2"/>
        <v>4471355.2620732216</v>
      </c>
      <c r="I76" s="135">
        <f t="shared" si="4"/>
        <v>2199610.5005730065</v>
      </c>
      <c r="L76" s="107"/>
    </row>
    <row r="77" spans="2:12" x14ac:dyDescent="0.35">
      <c r="B77" s="60">
        <f t="shared" si="3"/>
        <v>2051</v>
      </c>
      <c r="E77" s="24">
        <f t="shared" si="0"/>
        <v>130290.81</v>
      </c>
      <c r="G77" s="24">
        <f t="shared" si="5"/>
        <v>130290.81</v>
      </c>
      <c r="H77" s="135">
        <f t="shared" si="2"/>
        <v>213755.88390966514</v>
      </c>
      <c r="I77" s="135">
        <f t="shared" si="4"/>
        <v>102091.00061770485</v>
      </c>
      <c r="L77" s="107"/>
    </row>
    <row r="78" spans="2:12" x14ac:dyDescent="0.35">
      <c r="B78" s="60">
        <f t="shared" si="3"/>
        <v>2052</v>
      </c>
      <c r="E78" s="24">
        <f t="shared" si="0"/>
        <v>130290.81</v>
      </c>
      <c r="G78" s="24">
        <f t="shared" si="5"/>
        <v>130290.81</v>
      </c>
      <c r="H78" s="135">
        <f t="shared" si="2"/>
        <v>218031.00158785845</v>
      </c>
      <c r="I78" s="135">
        <f t="shared" si="4"/>
        <v>101099.82585442616</v>
      </c>
      <c r="L78" s="107"/>
    </row>
    <row r="79" spans="2:12" x14ac:dyDescent="0.35">
      <c r="B79" s="60">
        <f t="shared" si="3"/>
        <v>2053</v>
      </c>
      <c r="E79" s="24">
        <f t="shared" si="0"/>
        <v>130290.81</v>
      </c>
      <c r="G79" s="24">
        <f t="shared" si="5"/>
        <v>130290.81</v>
      </c>
      <c r="H79" s="135">
        <f t="shared" si="2"/>
        <v>222391.62161961559</v>
      </c>
      <c r="I79" s="135">
        <f t="shared" si="4"/>
        <v>100118.27414710163</v>
      </c>
      <c r="L79" s="107"/>
    </row>
    <row r="80" spans="2:12" x14ac:dyDescent="0.35">
      <c r="B80" s="60">
        <f t="shared" si="3"/>
        <v>2054</v>
      </c>
      <c r="E80" s="24">
        <f t="shared" si="0"/>
        <v>130290.81</v>
      </c>
      <c r="G80" s="24">
        <f t="shared" si="5"/>
        <v>130290.81</v>
      </c>
      <c r="H80" s="135">
        <f t="shared" si="2"/>
        <v>226839.45405200793</v>
      </c>
      <c r="I80" s="135">
        <f t="shared" si="4"/>
        <v>99146.252068003567</v>
      </c>
      <c r="L80" s="107"/>
    </row>
    <row r="81" spans="1:12" x14ac:dyDescent="0.35">
      <c r="B81" s="60">
        <f t="shared" si="3"/>
        <v>2055</v>
      </c>
      <c r="D81" s="135">
        <f>G21+G19</f>
        <v>500000</v>
      </c>
      <c r="E81" s="24">
        <f t="shared" si="0"/>
        <v>130290.81</v>
      </c>
      <c r="G81" s="24">
        <f>D81+E81+F81</f>
        <v>630290.81000000006</v>
      </c>
      <c r="H81" s="135">
        <f t="shared" si="2"/>
        <v>1119298.5882817507</v>
      </c>
      <c r="I81" s="137">
        <f t="shared" si="4"/>
        <v>474970.28426643554</v>
      </c>
      <c r="L81" s="107"/>
    </row>
    <row r="82" spans="1:12" x14ac:dyDescent="0.35">
      <c r="E82" s="24"/>
      <c r="G82" s="24"/>
      <c r="H82" s="135"/>
      <c r="I82" s="135">
        <f>SUM(I52:I81)</f>
        <v>15701235.022976451</v>
      </c>
      <c r="L82" s="107"/>
    </row>
    <row r="83" spans="1:12" x14ac:dyDescent="0.35">
      <c r="I83" s="59"/>
      <c r="L83" s="217"/>
    </row>
    <row r="84" spans="1:12" ht="18.5" x14ac:dyDescent="0.45">
      <c r="A84" s="485" t="s">
        <v>1311</v>
      </c>
      <c r="B84" s="558"/>
      <c r="C84" s="558"/>
      <c r="D84" s="558"/>
      <c r="E84" s="125" t="s">
        <v>1312</v>
      </c>
      <c r="F84" s="125"/>
      <c r="G84" s="345"/>
      <c r="H84" s="125"/>
      <c r="I84" s="345">
        <f>I82</f>
        <v>15701235.022976451</v>
      </c>
    </row>
    <row r="86" spans="1:12" ht="18.5" x14ac:dyDescent="0.45">
      <c r="A86" s="126" t="s">
        <v>570</v>
      </c>
      <c r="B86" s="96"/>
      <c r="C86" s="96"/>
      <c r="D86" s="96"/>
    </row>
    <row r="87" spans="1:12" ht="18.5" x14ac:dyDescent="0.45">
      <c r="A87" s="126" t="s">
        <v>571</v>
      </c>
      <c r="B87" s="96"/>
      <c r="C87" s="96"/>
      <c r="D87" s="96"/>
    </row>
    <row r="88" spans="1:12" ht="18.5" x14ac:dyDescent="0.45">
      <c r="A88" s="126" t="s">
        <v>579</v>
      </c>
      <c r="B88" s="96"/>
      <c r="C88" s="96"/>
      <c r="D88" s="96"/>
    </row>
    <row r="89" spans="1:12" ht="18.5" x14ac:dyDescent="0.45">
      <c r="A89" s="126" t="s">
        <v>573</v>
      </c>
      <c r="B89" s="96"/>
      <c r="C89" s="96"/>
      <c r="D89" s="96"/>
    </row>
    <row r="90" spans="1:12" ht="18.5" x14ac:dyDescent="0.45">
      <c r="A90" s="126" t="s">
        <v>649</v>
      </c>
      <c r="B90" s="96"/>
      <c r="C90" s="96"/>
      <c r="D90" s="96"/>
    </row>
    <row r="91" spans="1:12" ht="18.5" x14ac:dyDescent="0.45">
      <c r="A91" s="126" t="s">
        <v>1272</v>
      </c>
      <c r="B91" s="96"/>
      <c r="C91" s="96"/>
      <c r="D91" s="96"/>
    </row>
    <row r="93" spans="1:12" ht="18.5" x14ac:dyDescent="0.45">
      <c r="A93" s="126" t="s">
        <v>569</v>
      </c>
      <c r="B93" s="96"/>
      <c r="C93" s="96"/>
      <c r="D93" s="96"/>
    </row>
    <row r="94" spans="1:12" x14ac:dyDescent="0.35">
      <c r="A94" t="s">
        <v>160</v>
      </c>
      <c r="G94" s="5"/>
    </row>
    <row r="95" spans="1:12" x14ac:dyDescent="0.35">
      <c r="A95" t="s">
        <v>1254</v>
      </c>
    </row>
    <row r="96" spans="1:12" x14ac:dyDescent="0.35">
      <c r="A96" t="s">
        <v>516</v>
      </c>
    </row>
    <row r="111" spans="1:1" x14ac:dyDescent="0.35">
      <c r="A111" s="149" t="s">
        <v>517</v>
      </c>
    </row>
    <row r="112" spans="1:1" x14ac:dyDescent="0.35">
      <c r="A112" s="60"/>
    </row>
    <row r="113" spans="1:1" x14ac:dyDescent="0.35">
      <c r="A113" s="60"/>
    </row>
    <row r="114" spans="1:1" x14ac:dyDescent="0.35">
      <c r="A114" s="60"/>
    </row>
    <row r="115" spans="1:1" x14ac:dyDescent="0.35">
      <c r="A115" s="60"/>
    </row>
    <row r="116" spans="1:1" x14ac:dyDescent="0.35">
      <c r="A116" s="149" t="s">
        <v>639</v>
      </c>
    </row>
    <row r="117" spans="1:1" x14ac:dyDescent="0.35">
      <c r="A117" s="149" t="s">
        <v>638</v>
      </c>
    </row>
    <row r="118" spans="1:1" x14ac:dyDescent="0.35">
      <c r="A118" s="60"/>
    </row>
    <row r="119" spans="1:1" x14ac:dyDescent="0.35">
      <c r="A119" s="60"/>
    </row>
    <row r="120" spans="1:1" x14ac:dyDescent="0.35">
      <c r="A120" s="149" t="s">
        <v>518</v>
      </c>
    </row>
    <row r="136" spans="1:1" x14ac:dyDescent="0.35">
      <c r="A136" s="291"/>
    </row>
    <row r="137" spans="1:1" x14ac:dyDescent="0.35">
      <c r="A137" s="291"/>
    </row>
    <row r="138" spans="1:1" x14ac:dyDescent="0.35">
      <c r="A138" s="291"/>
    </row>
    <row r="139" spans="1:1" x14ac:dyDescent="0.35">
      <c r="A139" s="291"/>
    </row>
    <row r="140" spans="1:1" x14ac:dyDescent="0.35">
      <c r="A140" s="291"/>
    </row>
    <row r="141" spans="1:1" x14ac:dyDescent="0.35">
      <c r="A141" s="291"/>
    </row>
    <row r="142" spans="1:1" x14ac:dyDescent="0.35">
      <c r="A142" s="291"/>
    </row>
    <row r="143" spans="1:1" x14ac:dyDescent="0.35">
      <c r="A143" s="291"/>
    </row>
    <row r="144" spans="1:1" x14ac:dyDescent="0.35">
      <c r="A144" s="291"/>
    </row>
    <row r="145" spans="1:7" x14ac:dyDescent="0.35">
      <c r="A145" t="s">
        <v>1255</v>
      </c>
    </row>
    <row r="146" spans="1:7" x14ac:dyDescent="0.35">
      <c r="A146" t="s">
        <v>1256</v>
      </c>
    </row>
    <row r="147" spans="1:7" x14ac:dyDescent="0.35">
      <c r="A147" t="s">
        <v>528</v>
      </c>
    </row>
    <row r="148" spans="1:7" x14ac:dyDescent="0.35">
      <c r="A148" t="s">
        <v>1257</v>
      </c>
    </row>
    <row r="150" spans="1:7" x14ac:dyDescent="0.35">
      <c r="C150" s="4" t="s">
        <v>1196</v>
      </c>
      <c r="D150" s="4" t="s">
        <v>1197</v>
      </c>
      <c r="E150" s="4" t="s">
        <v>83</v>
      </c>
    </row>
    <row r="151" spans="1:7" x14ac:dyDescent="0.35">
      <c r="A151" t="s">
        <v>1258</v>
      </c>
      <c r="C151" s="352">
        <v>541</v>
      </c>
      <c r="D151" s="352">
        <v>478</v>
      </c>
      <c r="E151" s="352">
        <f>C151+D151</f>
        <v>1019</v>
      </c>
    </row>
    <row r="152" spans="1:7" x14ac:dyDescent="0.35">
      <c r="A152" t="s">
        <v>1259</v>
      </c>
      <c r="C152" s="352">
        <v>365</v>
      </c>
      <c r="D152" s="352"/>
      <c r="E152" s="352">
        <f>C152+D152</f>
        <v>365</v>
      </c>
    </row>
    <row r="153" spans="1:7" x14ac:dyDescent="0.35">
      <c r="A153" t="s">
        <v>1260</v>
      </c>
      <c r="C153" s="352">
        <v>84</v>
      </c>
      <c r="D153" s="352"/>
      <c r="E153" s="352">
        <f>C153+D153</f>
        <v>84</v>
      </c>
    </row>
    <row r="154" spans="1:7" x14ac:dyDescent="0.35">
      <c r="A154" t="s">
        <v>1261</v>
      </c>
      <c r="C154" s="352">
        <v>370</v>
      </c>
      <c r="D154" s="352">
        <v>34</v>
      </c>
      <c r="E154" s="352">
        <f>C154+D154</f>
        <v>404</v>
      </c>
    </row>
    <row r="155" spans="1:7" x14ac:dyDescent="0.35">
      <c r="A155" t="s">
        <v>1262</v>
      </c>
      <c r="C155" s="352">
        <v>81</v>
      </c>
      <c r="D155" s="352"/>
      <c r="E155" s="352">
        <f>C155+D155</f>
        <v>81</v>
      </c>
      <c r="F155" s="216">
        <f>(E151+E153+E154+E155)-(E151+E152)</f>
        <v>204</v>
      </c>
      <c r="G155" s="216" t="s">
        <v>1265</v>
      </c>
    </row>
    <row r="156" spans="1:7" x14ac:dyDescent="0.35">
      <c r="C156" s="70" t="s">
        <v>1293</v>
      </c>
      <c r="D156" s="59"/>
      <c r="E156" s="2"/>
    </row>
    <row r="157" spans="1:7" x14ac:dyDescent="0.35">
      <c r="C157" s="2"/>
      <c r="D157" s="2"/>
      <c r="E157" s="2"/>
    </row>
    <row r="158" spans="1:7" x14ac:dyDescent="0.35">
      <c r="A158" s="48" t="s">
        <v>1276</v>
      </c>
      <c r="B158" s="5"/>
      <c r="C158" s="5"/>
    </row>
    <row r="159" spans="1:7" x14ac:dyDescent="0.35">
      <c r="A159" s="48" t="s">
        <v>1263</v>
      </c>
      <c r="B159" s="5"/>
      <c r="C159" s="5">
        <v>81</v>
      </c>
    </row>
    <row r="160" spans="1:7" x14ac:dyDescent="0.35">
      <c r="A160" s="48" t="s">
        <v>1264</v>
      </c>
      <c r="B160" s="5"/>
      <c r="C160" s="5">
        <v>370</v>
      </c>
    </row>
    <row r="163" spans="1:5" x14ac:dyDescent="0.35">
      <c r="A163" s="44" t="s">
        <v>565</v>
      </c>
      <c r="B163" s="44"/>
      <c r="C163" s="44"/>
      <c r="D163" s="44"/>
    </row>
    <row r="164" spans="1:5" x14ac:dyDescent="0.35">
      <c r="A164" t="s">
        <v>160</v>
      </c>
    </row>
    <row r="165" spans="1:5" x14ac:dyDescent="0.35">
      <c r="A165" t="s">
        <v>342</v>
      </c>
    </row>
    <row r="166" spans="1:5" x14ac:dyDescent="0.35">
      <c r="A166" t="s">
        <v>336</v>
      </c>
    </row>
    <row r="167" spans="1:5" x14ac:dyDescent="0.35">
      <c r="A167" t="s">
        <v>337</v>
      </c>
    </row>
    <row r="168" spans="1:5" x14ac:dyDescent="0.35">
      <c r="A168" t="s">
        <v>530</v>
      </c>
    </row>
    <row r="169" spans="1:5" x14ac:dyDescent="0.35">
      <c r="A169" t="s">
        <v>531</v>
      </c>
    </row>
    <row r="170" spans="1:5" x14ac:dyDescent="0.35">
      <c r="A170" t="s">
        <v>333</v>
      </c>
    </row>
    <row r="172" spans="1:5" x14ac:dyDescent="0.35">
      <c r="A172" t="s">
        <v>533</v>
      </c>
    </row>
    <row r="173" spans="1:5" x14ac:dyDescent="0.35">
      <c r="A173" t="s">
        <v>532</v>
      </c>
    </row>
    <row r="174" spans="1:5" x14ac:dyDescent="0.35">
      <c r="A174" s="449" t="s">
        <v>564</v>
      </c>
      <c r="B174" s="449"/>
      <c r="C174" s="449"/>
      <c r="D174" s="449"/>
      <c r="E174" s="451">
        <v>10000</v>
      </c>
    </row>
    <row r="177" spans="1:4" x14ac:dyDescent="0.35">
      <c r="A177" s="44" t="s">
        <v>566</v>
      </c>
      <c r="B177" s="44"/>
    </row>
    <row r="178" spans="1:4" x14ac:dyDescent="0.35">
      <c r="A178" t="s">
        <v>160</v>
      </c>
    </row>
    <row r="179" spans="1:4" x14ac:dyDescent="0.35">
      <c r="A179" t="s">
        <v>1266</v>
      </c>
    </row>
    <row r="180" spans="1:4" x14ac:dyDescent="0.35">
      <c r="A180" t="s">
        <v>1267</v>
      </c>
    </row>
    <row r="181" spans="1:4" x14ac:dyDescent="0.35">
      <c r="A181" t="s">
        <v>535</v>
      </c>
    </row>
    <row r="182" spans="1:4" x14ac:dyDescent="0.35">
      <c r="A182" t="s">
        <v>536</v>
      </c>
    </row>
    <row r="184" spans="1:4" x14ac:dyDescent="0.35">
      <c r="A184" t="s">
        <v>1268</v>
      </c>
    </row>
    <row r="185" spans="1:4" x14ac:dyDescent="0.35">
      <c r="A185" t="s">
        <v>537</v>
      </c>
    </row>
    <row r="186" spans="1:4" x14ac:dyDescent="0.35">
      <c r="A186" t="s">
        <v>538</v>
      </c>
    </row>
    <row r="187" spans="1:4" x14ac:dyDescent="0.35">
      <c r="A187" t="s">
        <v>539</v>
      </c>
    </row>
    <row r="188" spans="1:4" x14ac:dyDescent="0.35">
      <c r="A188" t="s">
        <v>540</v>
      </c>
    </row>
    <row r="189" spans="1:4" x14ac:dyDescent="0.35">
      <c r="A189" t="s">
        <v>541</v>
      </c>
    </row>
    <row r="190" spans="1:4" x14ac:dyDescent="0.35">
      <c r="A190" t="s">
        <v>542</v>
      </c>
    </row>
    <row r="192" spans="1:4" x14ac:dyDescent="0.35">
      <c r="A192" t="s">
        <v>690</v>
      </c>
      <c r="B192" t="s">
        <v>689</v>
      </c>
      <c r="D192" s="59">
        <v>334866</v>
      </c>
    </row>
    <row r="193" spans="1:5" x14ac:dyDescent="0.35">
      <c r="A193" t="s">
        <v>1269</v>
      </c>
      <c r="D193" s="59"/>
    </row>
    <row r="194" spans="1:5" x14ac:dyDescent="0.35">
      <c r="A194" t="s">
        <v>1270</v>
      </c>
    </row>
    <row r="196" spans="1:5" x14ac:dyDescent="0.35">
      <c r="B196" t="s">
        <v>543</v>
      </c>
      <c r="D196">
        <f>1600*5</f>
        <v>8000</v>
      </c>
    </row>
    <row r="197" spans="1:5" x14ac:dyDescent="0.35">
      <c r="B197" t="s">
        <v>544</v>
      </c>
      <c r="D197" s="20">
        <v>2400</v>
      </c>
    </row>
    <row r="198" spans="1:5" x14ac:dyDescent="0.35">
      <c r="D198" s="59">
        <f>SUM(D196:D197)</f>
        <v>10400</v>
      </c>
    </row>
    <row r="199" spans="1:5" x14ac:dyDescent="0.35">
      <c r="D199" s="59"/>
    </row>
    <row r="200" spans="1:5" x14ac:dyDescent="0.35">
      <c r="A200" t="s">
        <v>688</v>
      </c>
      <c r="D200" s="59">
        <f>D192</f>
        <v>334866</v>
      </c>
    </row>
    <row r="201" spans="1:5" x14ac:dyDescent="0.35">
      <c r="A201" t="s">
        <v>567</v>
      </c>
      <c r="D201" s="59">
        <f>D198*5</f>
        <v>52000</v>
      </c>
    </row>
    <row r="202" spans="1:5" x14ac:dyDescent="0.35">
      <c r="D202" s="59"/>
    </row>
    <row r="203" spans="1:5" x14ac:dyDescent="0.35">
      <c r="A203" s="449" t="s">
        <v>691</v>
      </c>
      <c r="B203" s="449"/>
      <c r="C203" s="449"/>
      <c r="D203" s="383">
        <f>D192</f>
        <v>334866</v>
      </c>
      <c r="E203" s="60" t="s">
        <v>1271</v>
      </c>
    </row>
    <row r="204" spans="1:5" x14ac:dyDescent="0.35">
      <c r="A204" s="449" t="s">
        <v>568</v>
      </c>
      <c r="B204" s="449"/>
      <c r="C204" s="449"/>
      <c r="D204" s="383">
        <f>D201</f>
        <v>52000</v>
      </c>
    </row>
    <row r="207" spans="1:5" x14ac:dyDescent="0.35">
      <c r="A207" s="44" t="s">
        <v>1290</v>
      </c>
      <c r="B207" s="44"/>
      <c r="C207" s="44"/>
    </row>
    <row r="208" spans="1:5" x14ac:dyDescent="0.35">
      <c r="A208" t="s">
        <v>160</v>
      </c>
    </row>
    <row r="209" spans="1:11" x14ac:dyDescent="0.35">
      <c r="A209" t="s">
        <v>1266</v>
      </c>
    </row>
    <row r="210" spans="1:11" x14ac:dyDescent="0.35">
      <c r="A210" t="s">
        <v>1294</v>
      </c>
    </row>
    <row r="211" spans="1:11" x14ac:dyDescent="0.35">
      <c r="A211" t="s">
        <v>1275</v>
      </c>
    </row>
    <row r="213" spans="1:11" ht="29" x14ac:dyDescent="0.35">
      <c r="C213" t="s">
        <v>345</v>
      </c>
      <c r="D213" s="106" t="s">
        <v>1274</v>
      </c>
      <c r="E213" s="106" t="s">
        <v>1282</v>
      </c>
      <c r="F213" s="106" t="s">
        <v>1283</v>
      </c>
    </row>
    <row r="214" spans="1:11" x14ac:dyDescent="0.35">
      <c r="B214" t="s">
        <v>529</v>
      </c>
      <c r="C214">
        <v>2025</v>
      </c>
      <c r="D214">
        <v>1019</v>
      </c>
      <c r="E214">
        <v>0</v>
      </c>
      <c r="F214">
        <v>0</v>
      </c>
    </row>
    <row r="215" spans="1:11" x14ac:dyDescent="0.35">
      <c r="C215">
        <v>2030</v>
      </c>
      <c r="D215" s="50">
        <f t="shared" ref="D215:D220" si="6">D214+E215</f>
        <v>1080.6666666666667</v>
      </c>
      <c r="E215" s="55">
        <f t="shared" ref="E215:E220" si="7">370/6</f>
        <v>61.666666666666664</v>
      </c>
      <c r="F215" s="21">
        <f t="shared" ref="F215:F220" si="8">81/6</f>
        <v>13.5</v>
      </c>
    </row>
    <row r="216" spans="1:11" x14ac:dyDescent="0.35">
      <c r="C216">
        <v>2035</v>
      </c>
      <c r="D216" s="50">
        <f t="shared" si="6"/>
        <v>1142.3333333333335</v>
      </c>
      <c r="E216" s="55">
        <f t="shared" si="7"/>
        <v>61.666666666666664</v>
      </c>
      <c r="F216" s="21">
        <f t="shared" si="8"/>
        <v>13.5</v>
      </c>
    </row>
    <row r="217" spans="1:11" x14ac:dyDescent="0.35">
      <c r="C217">
        <v>2040</v>
      </c>
      <c r="D217" s="50">
        <f t="shared" si="6"/>
        <v>1204.0000000000002</v>
      </c>
      <c r="E217" s="55">
        <f t="shared" si="7"/>
        <v>61.666666666666664</v>
      </c>
      <c r="F217" s="21">
        <f t="shared" si="8"/>
        <v>13.5</v>
      </c>
    </row>
    <row r="218" spans="1:11" x14ac:dyDescent="0.35">
      <c r="C218">
        <v>2045</v>
      </c>
      <c r="D218" s="50">
        <f t="shared" si="6"/>
        <v>1265.666666666667</v>
      </c>
      <c r="E218" s="55">
        <f t="shared" si="7"/>
        <v>61.666666666666664</v>
      </c>
      <c r="F218" s="21">
        <f t="shared" si="8"/>
        <v>13.5</v>
      </c>
      <c r="J218" s="106"/>
      <c r="K218" s="106"/>
    </row>
    <row r="219" spans="1:11" x14ac:dyDescent="0.35">
      <c r="C219">
        <v>2050</v>
      </c>
      <c r="D219" s="50">
        <f t="shared" si="6"/>
        <v>1327.3333333333337</v>
      </c>
      <c r="E219" s="55">
        <f t="shared" si="7"/>
        <v>61.666666666666664</v>
      </c>
      <c r="F219" s="21">
        <f t="shared" si="8"/>
        <v>13.5</v>
      </c>
    </row>
    <row r="220" spans="1:11" x14ac:dyDescent="0.35">
      <c r="B220" t="s">
        <v>1273</v>
      </c>
      <c r="C220" s="20">
        <v>2055</v>
      </c>
      <c r="D220" s="444">
        <f t="shared" si="6"/>
        <v>1389.0000000000005</v>
      </c>
      <c r="E220" s="445">
        <f t="shared" si="7"/>
        <v>61.666666666666664</v>
      </c>
      <c r="F220" s="54">
        <f t="shared" si="8"/>
        <v>13.5</v>
      </c>
      <c r="J220" s="50"/>
      <c r="K220" s="443"/>
    </row>
    <row r="221" spans="1:11" x14ac:dyDescent="0.35">
      <c r="D221" s="2" t="s">
        <v>83</v>
      </c>
      <c r="E221" s="50">
        <f>SUM(E214:E220)</f>
        <v>370</v>
      </c>
      <c r="F221" s="50">
        <f>SUM(F214:F220)</f>
        <v>81</v>
      </c>
      <c r="J221" s="50"/>
      <c r="K221" s="443"/>
    </row>
    <row r="222" spans="1:11" x14ac:dyDescent="0.35">
      <c r="E222" s="50"/>
      <c r="F222" s="21"/>
      <c r="J222" s="50"/>
      <c r="K222" s="443"/>
    </row>
    <row r="223" spans="1:11" x14ac:dyDescent="0.35">
      <c r="A223" s="121" t="s">
        <v>557</v>
      </c>
      <c r="B223" s="44"/>
      <c r="C223" s="44"/>
      <c r="E223" s="50"/>
      <c r="F223" s="21"/>
    </row>
    <row r="224" spans="1:11" x14ac:dyDescent="0.35">
      <c r="A224" t="s">
        <v>160</v>
      </c>
      <c r="C224" s="47"/>
      <c r="D224" s="5"/>
    </row>
    <row r="225" spans="1:7" x14ac:dyDescent="0.35">
      <c r="A225" t="s">
        <v>1277</v>
      </c>
      <c r="E225" s="50"/>
    </row>
    <row r="226" spans="1:7" x14ac:dyDescent="0.35">
      <c r="A226" t="s">
        <v>694</v>
      </c>
      <c r="C226" s="2"/>
      <c r="D226" s="51"/>
      <c r="E226" s="23"/>
    </row>
    <row r="227" spans="1:7" x14ac:dyDescent="0.35">
      <c r="A227" t="s">
        <v>553</v>
      </c>
      <c r="C227" s="2"/>
      <c r="D227" s="51"/>
      <c r="E227" s="23"/>
    </row>
    <row r="228" spans="1:7" x14ac:dyDescent="0.35">
      <c r="A228" s="60" t="s">
        <v>554</v>
      </c>
    </row>
    <row r="229" spans="1:7" x14ac:dyDescent="0.35">
      <c r="A229" t="s">
        <v>555</v>
      </c>
    </row>
    <row r="230" spans="1:7" x14ac:dyDescent="0.35">
      <c r="A230" t="s">
        <v>1295</v>
      </c>
    </row>
    <row r="232" spans="1:7" x14ac:dyDescent="0.35">
      <c r="A232" t="s">
        <v>1291</v>
      </c>
    </row>
    <row r="233" spans="1:7" ht="29" x14ac:dyDescent="0.35">
      <c r="D233" s="446" t="s">
        <v>550</v>
      </c>
      <c r="E233" s="3" t="s">
        <v>354</v>
      </c>
      <c r="F233" s="106" t="s">
        <v>314</v>
      </c>
      <c r="G233" s="3" t="s">
        <v>315</v>
      </c>
    </row>
    <row r="234" spans="1:7" x14ac:dyDescent="0.35">
      <c r="A234" t="s">
        <v>1292</v>
      </c>
      <c r="D234" s="450">
        <f>E221/6</f>
        <v>61.666666666666664</v>
      </c>
      <c r="E234" s="2">
        <f>28</f>
        <v>28</v>
      </c>
      <c r="G234" s="6">
        <f>(D234*43560*(E234/12))/27</f>
        <v>232140.74074074073</v>
      </c>
    </row>
    <row r="235" spans="1:7" x14ac:dyDescent="0.35">
      <c r="D235" s="6"/>
      <c r="E235" s="2"/>
      <c r="F235" s="2"/>
      <c r="G235" s="103"/>
    </row>
    <row r="236" spans="1:7" x14ac:dyDescent="0.35">
      <c r="A236" t="s">
        <v>1278</v>
      </c>
      <c r="D236" s="21">
        <f>D234</f>
        <v>61.666666666666664</v>
      </c>
    </row>
    <row r="237" spans="1:7" x14ac:dyDescent="0.35">
      <c r="A237" t="s">
        <v>1279</v>
      </c>
      <c r="D237" s="23">
        <f>G234</f>
        <v>232140.74074074073</v>
      </c>
    </row>
    <row r="238" spans="1:7" x14ac:dyDescent="0.35">
      <c r="A238" t="s">
        <v>172</v>
      </c>
      <c r="B238" s="2"/>
      <c r="C238" s="51"/>
      <c r="D238" s="23">
        <f>D237*1.15</f>
        <v>266961.8518518518</v>
      </c>
    </row>
    <row r="239" spans="1:7" x14ac:dyDescent="0.35">
      <c r="A239" t="s">
        <v>173</v>
      </c>
      <c r="D239" s="23">
        <v>3300</v>
      </c>
    </row>
    <row r="240" spans="1:7" x14ac:dyDescent="0.35">
      <c r="A240" t="s">
        <v>174</v>
      </c>
      <c r="D240" s="23">
        <f>(D238*D239)/2000</f>
        <v>440487.05555555545</v>
      </c>
    </row>
    <row r="241" spans="1:5" x14ac:dyDescent="0.35">
      <c r="A241" s="60"/>
    </row>
    <row r="242" spans="1:5" x14ac:dyDescent="0.35">
      <c r="A242" t="s">
        <v>311</v>
      </c>
      <c r="D242" s="129">
        <v>17400</v>
      </c>
      <c r="E242" s="23" t="s">
        <v>320</v>
      </c>
    </row>
    <row r="243" spans="1:5" x14ac:dyDescent="0.35">
      <c r="C243" s="23"/>
      <c r="D243" s="23"/>
    </row>
    <row r="244" spans="1:5" x14ac:dyDescent="0.35">
      <c r="A244" s="60" t="s">
        <v>693</v>
      </c>
    </row>
    <row r="245" spans="1:5" x14ac:dyDescent="0.35">
      <c r="A245" s="60" t="s">
        <v>323</v>
      </c>
      <c r="E245" s="25">
        <v>20</v>
      </c>
    </row>
    <row r="246" spans="1:5" x14ac:dyDescent="0.35">
      <c r="A246" s="60" t="s">
        <v>324</v>
      </c>
      <c r="E246" s="25">
        <v>20</v>
      </c>
    </row>
    <row r="247" spans="1:5" ht="15.5" x14ac:dyDescent="0.35">
      <c r="A247" s="52"/>
    </row>
    <row r="248" spans="1:5" x14ac:dyDescent="0.35">
      <c r="A248" s="53" t="s">
        <v>183</v>
      </c>
    </row>
    <row r="249" spans="1:5" x14ac:dyDescent="0.35">
      <c r="A249" t="s">
        <v>184</v>
      </c>
      <c r="C249" s="55">
        <f>0.45*10</f>
        <v>4.5</v>
      </c>
      <c r="D249" t="s">
        <v>556</v>
      </c>
    </row>
    <row r="250" spans="1:5" x14ac:dyDescent="0.35">
      <c r="A250" t="s">
        <v>185</v>
      </c>
      <c r="C250" s="21">
        <f>D242/((E245*521740080)/60)</f>
        <v>1.000498179093314E-4</v>
      </c>
    </row>
    <row r="251" spans="1:5" x14ac:dyDescent="0.35">
      <c r="A251" t="s">
        <v>186</v>
      </c>
      <c r="C251">
        <v>1.6</v>
      </c>
    </row>
    <row r="252" spans="1:5" x14ac:dyDescent="0.35">
      <c r="A252" t="s">
        <v>187</v>
      </c>
      <c r="C252" s="54">
        <f>D242/((E246*5280)/60)</f>
        <v>9.8863636363636367</v>
      </c>
    </row>
    <row r="253" spans="1:5" x14ac:dyDescent="0.35">
      <c r="A253" t="s">
        <v>188</v>
      </c>
      <c r="C253" s="55">
        <f>SUM(C249:C252)</f>
        <v>15.986463686181546</v>
      </c>
    </row>
    <row r="254" spans="1:5" x14ac:dyDescent="0.35">
      <c r="A254" t="s">
        <v>189</v>
      </c>
      <c r="C254">
        <v>0</v>
      </c>
    </row>
    <row r="255" spans="1:5" x14ac:dyDescent="0.35">
      <c r="A255" t="s">
        <v>190</v>
      </c>
      <c r="C255" s="20">
        <v>0</v>
      </c>
      <c r="D255" s="149" t="s">
        <v>191</v>
      </c>
      <c r="E255" s="264" t="s">
        <v>230</v>
      </c>
    </row>
    <row r="256" spans="1:5" x14ac:dyDescent="0.35">
      <c r="A256" t="s">
        <v>192</v>
      </c>
      <c r="C256" s="55">
        <f>SUM(C253:C255)</f>
        <v>15.986463686181546</v>
      </c>
      <c r="D256" s="227">
        <f>C250+C251+C252</f>
        <v>11.486463686181546</v>
      </c>
      <c r="E256" s="128">
        <f>D256/C249</f>
        <v>2.5525474858181214</v>
      </c>
    </row>
    <row r="257" spans="1:5" x14ac:dyDescent="0.35">
      <c r="A257" t="s">
        <v>193</v>
      </c>
      <c r="C257" s="55">
        <f>60/C256</f>
        <v>3.7531752598833399</v>
      </c>
    </row>
    <row r="258" spans="1:5" x14ac:dyDescent="0.35">
      <c r="C258" s="55"/>
    </row>
    <row r="259" spans="1:5" x14ac:dyDescent="0.35">
      <c r="A259" t="s">
        <v>325</v>
      </c>
      <c r="C259" s="25">
        <v>40</v>
      </c>
    </row>
    <row r="260" spans="1:5" x14ac:dyDescent="0.35">
      <c r="A260" t="s">
        <v>224</v>
      </c>
      <c r="C260" s="118">
        <f>+C257*C259</f>
        <v>150.1270103953336</v>
      </c>
    </row>
    <row r="262" spans="1:5" x14ac:dyDescent="0.35">
      <c r="A262" s="60" t="s">
        <v>547</v>
      </c>
      <c r="C262">
        <v>10</v>
      </c>
      <c r="D262" s="50">
        <f>C259/4</f>
        <v>10</v>
      </c>
    </row>
    <row r="263" spans="1:5" x14ac:dyDescent="0.35">
      <c r="A263" t="s">
        <v>194</v>
      </c>
      <c r="C263">
        <v>0.7</v>
      </c>
    </row>
    <row r="264" spans="1:5" x14ac:dyDescent="0.35">
      <c r="A264" t="s">
        <v>195</v>
      </c>
      <c r="C264">
        <f>C262*C263</f>
        <v>7</v>
      </c>
    </row>
    <row r="265" spans="1:5" x14ac:dyDescent="0.35">
      <c r="A265" t="s">
        <v>196</v>
      </c>
      <c r="C265" s="50">
        <f>C256/C264</f>
        <v>2.2837805265973636</v>
      </c>
      <c r="D265" s="447" t="s">
        <v>223</v>
      </c>
      <c r="E265" s="60"/>
    </row>
    <row r="266" spans="1:5" x14ac:dyDescent="0.35">
      <c r="C266" s="50"/>
      <c r="D266" s="447"/>
      <c r="E266" s="60"/>
    </row>
    <row r="267" spans="1:5" x14ac:dyDescent="0.35">
      <c r="A267" t="s">
        <v>546</v>
      </c>
      <c r="C267">
        <v>2</v>
      </c>
    </row>
    <row r="269" spans="1:5" x14ac:dyDescent="0.35">
      <c r="A269" t="s">
        <v>197</v>
      </c>
      <c r="C269" s="222">
        <f>(C267*C259)/C256</f>
        <v>5.0042336798444529</v>
      </c>
    </row>
    <row r="270" spans="1:5" x14ac:dyDescent="0.35">
      <c r="A270" t="s">
        <v>198</v>
      </c>
      <c r="C270" s="23">
        <f>C269*60</f>
        <v>300.2540207906672</v>
      </c>
    </row>
    <row r="271" spans="1:5" x14ac:dyDescent="0.35">
      <c r="A271" t="s">
        <v>199</v>
      </c>
      <c r="C271" s="55">
        <v>0.83</v>
      </c>
    </row>
    <row r="272" spans="1:5" x14ac:dyDescent="0.35">
      <c r="A272" t="s">
        <v>200</v>
      </c>
      <c r="C272">
        <v>0.9</v>
      </c>
    </row>
    <row r="273" spans="1:8" x14ac:dyDescent="0.35">
      <c r="A273" t="s">
        <v>201</v>
      </c>
      <c r="C273" s="50">
        <f>C270*C271*C272</f>
        <v>224.28975353062839</v>
      </c>
    </row>
    <row r="274" spans="1:8" x14ac:dyDescent="0.35">
      <c r="A274" t="s">
        <v>202</v>
      </c>
      <c r="C274" s="363">
        <f>D238/C273</f>
        <v>1190.2543368544752</v>
      </c>
    </row>
    <row r="276" spans="1:8" x14ac:dyDescent="0.35">
      <c r="B276" s="2" t="s">
        <v>203</v>
      </c>
      <c r="C276" s="2" t="s">
        <v>92</v>
      </c>
      <c r="D276" s="63" t="s">
        <v>214</v>
      </c>
      <c r="E276" s="64" t="s">
        <v>204</v>
      </c>
      <c r="F276" s="65" t="s">
        <v>170</v>
      </c>
      <c r="G276" s="2" t="s">
        <v>205</v>
      </c>
      <c r="H276" s="2" t="s">
        <v>206</v>
      </c>
    </row>
    <row r="277" spans="1:8" x14ac:dyDescent="0.35">
      <c r="A277" t="s">
        <v>207</v>
      </c>
      <c r="B277" s="369">
        <v>1</v>
      </c>
      <c r="C277" s="352" t="s">
        <v>548</v>
      </c>
      <c r="D277" s="369">
        <f>'Rates 2020'!$J$29</f>
        <v>329.27</v>
      </c>
      <c r="E277" s="369">
        <f>B277*$C$274</f>
        <v>1190.2543368544752</v>
      </c>
      <c r="F277" s="376">
        <f>D277*E277</f>
        <v>391915.04549607303</v>
      </c>
      <c r="G277" s="371">
        <f>F277/$D$240</f>
        <v>0.88973112956015943</v>
      </c>
      <c r="H277" s="355">
        <f>F277/$D$238</f>
        <v>1.468056363774263</v>
      </c>
    </row>
    <row r="278" spans="1:8" x14ac:dyDescent="0.35">
      <c r="A278" t="s">
        <v>208</v>
      </c>
      <c r="B278" s="369">
        <f>C267</f>
        <v>2</v>
      </c>
      <c r="C278" s="369">
        <v>740</v>
      </c>
      <c r="D278" s="369">
        <f>'Rates 2020'!$J$70</f>
        <v>249.65</v>
      </c>
      <c r="E278" s="369">
        <f>B278*$C$274</f>
        <v>2380.5086737089505</v>
      </c>
      <c r="F278" s="376">
        <f>D278*E278</f>
        <v>594293.99039143953</v>
      </c>
      <c r="G278" s="371">
        <f>F278/$D$240</f>
        <v>1.349174698543407</v>
      </c>
      <c r="H278" s="355">
        <f>F278/$D$238</f>
        <v>2.2261382525966216</v>
      </c>
    </row>
    <row r="279" spans="1:8" x14ac:dyDescent="0.35">
      <c r="A279" t="s">
        <v>209</v>
      </c>
      <c r="B279" s="372">
        <v>1</v>
      </c>
      <c r="C279" s="369" t="s">
        <v>218</v>
      </c>
      <c r="D279" s="373">
        <f>'Rates 2020'!$J$51</f>
        <v>194.65</v>
      </c>
      <c r="E279" s="369">
        <f>B279*$C$274</f>
        <v>1190.2543368544752</v>
      </c>
      <c r="F279" s="376">
        <f>D279*E279</f>
        <v>231683.00666872362</v>
      </c>
      <c r="G279" s="371">
        <f>F279/$D$240</f>
        <v>0.52597006823848225</v>
      </c>
      <c r="H279" s="355">
        <f>F279/$D$238</f>
        <v>0.86785061259349572</v>
      </c>
    </row>
    <row r="280" spans="1:8" x14ac:dyDescent="0.35">
      <c r="A280" t="s">
        <v>210</v>
      </c>
      <c r="B280" s="372">
        <v>1</v>
      </c>
      <c r="C280" s="369" t="s">
        <v>98</v>
      </c>
      <c r="D280" s="373">
        <f>'Rates 2020'!$J$13</f>
        <v>332.61</v>
      </c>
      <c r="E280" s="369">
        <f>B280*$C$274</f>
        <v>1190.2543368544752</v>
      </c>
      <c r="F280" s="376">
        <f>D280*E280</f>
        <v>395890.49498116702</v>
      </c>
      <c r="G280" s="371">
        <f>F280/$D$240</f>
        <v>0.89875625171744966</v>
      </c>
      <c r="H280" s="355">
        <f>F280/$D$238</f>
        <v>1.4829478153337918</v>
      </c>
    </row>
    <row r="281" spans="1:8" x14ac:dyDescent="0.35">
      <c r="A281" t="s">
        <v>210</v>
      </c>
      <c r="B281" s="369">
        <v>1</v>
      </c>
      <c r="C281" s="370" t="s">
        <v>219</v>
      </c>
      <c r="D281" s="373">
        <f>'Rates 2020'!$J$56</f>
        <v>105.45</v>
      </c>
      <c r="E281" s="369">
        <f>B281*$C$274</f>
        <v>1190.2543368544752</v>
      </c>
      <c r="F281" s="376">
        <f>D281*E281</f>
        <v>125512.31982130442</v>
      </c>
      <c r="G281" s="371">
        <f>F281/$D$240</f>
        <v>0.28493985972642155</v>
      </c>
      <c r="H281" s="355">
        <f>F281/$D$238</f>
        <v>0.47015076854859555</v>
      </c>
    </row>
    <row r="282" spans="1:8" x14ac:dyDescent="0.35">
      <c r="A282" t="s">
        <v>220</v>
      </c>
      <c r="B282" s="63">
        <f>SUM(B277:B281)</f>
        <v>6</v>
      </c>
      <c r="C282" s="63"/>
      <c r="D282" s="2"/>
      <c r="E282" s="63">
        <f>SUM(E277:E281)</f>
        <v>7141.5260211268524</v>
      </c>
      <c r="F282" s="385">
        <f>SUM(F277:F281)</f>
        <v>1739294.8573587078</v>
      </c>
      <c r="G282" s="71">
        <f>SUM(G277:G281)</f>
        <v>3.9485720077859199</v>
      </c>
      <c r="H282" s="65">
        <f>SUM(H277:H281)</f>
        <v>6.5151438128467678</v>
      </c>
    </row>
    <row r="284" spans="1:8" x14ac:dyDescent="0.35">
      <c r="A284" s="79" t="s">
        <v>225</v>
      </c>
    </row>
    <row r="285" spans="1:8" x14ac:dyDescent="0.35">
      <c r="A285" t="s">
        <v>226</v>
      </c>
      <c r="C285" s="76">
        <f>C274</f>
        <v>1190.2543368544752</v>
      </c>
    </row>
    <row r="286" spans="1:8" x14ac:dyDescent="0.35">
      <c r="A286" t="s">
        <v>167</v>
      </c>
      <c r="C286" s="119">
        <f>C285</f>
        <v>1190.2543368544752</v>
      </c>
    </row>
    <row r="287" spans="1:8" x14ac:dyDescent="0.35">
      <c r="A287" t="s">
        <v>227</v>
      </c>
      <c r="B287" s="448" t="s">
        <v>328</v>
      </c>
      <c r="C287" s="78">
        <f>C286*'Rates 2020'!$J$13</f>
        <v>395890.49498116702</v>
      </c>
    </row>
    <row r="288" spans="1:8" x14ac:dyDescent="0.35">
      <c r="B288" s="25" t="s">
        <v>83</v>
      </c>
      <c r="C288" s="385">
        <f>SUM(C287:C287)</f>
        <v>395890.49498116702</v>
      </c>
    </row>
    <row r="290" spans="1:7" x14ac:dyDescent="0.35">
      <c r="A290" s="294" t="s">
        <v>558</v>
      </c>
      <c r="B290" s="294"/>
      <c r="C290" s="44"/>
      <c r="D290" s="386">
        <f>C288+F282</f>
        <v>2135185.352339875</v>
      </c>
    </row>
    <row r="293" spans="1:7" x14ac:dyDescent="0.35">
      <c r="A293" s="121" t="s">
        <v>560</v>
      </c>
      <c r="B293" s="44"/>
      <c r="C293" s="44"/>
    </row>
    <row r="294" spans="1:7" x14ac:dyDescent="0.35">
      <c r="A294" t="s">
        <v>160</v>
      </c>
    </row>
    <row r="295" spans="1:7" x14ac:dyDescent="0.35">
      <c r="A295" t="s">
        <v>232</v>
      </c>
    </row>
    <row r="296" spans="1:7" x14ac:dyDescent="0.35">
      <c r="A296" t="s">
        <v>233</v>
      </c>
    </row>
    <row r="297" spans="1:7" x14ac:dyDescent="0.35">
      <c r="A297" t="s">
        <v>308</v>
      </c>
    </row>
    <row r="298" spans="1:7" x14ac:dyDescent="0.35">
      <c r="A298" t="s">
        <v>310</v>
      </c>
      <c r="C298" s="60"/>
    </row>
    <row r="299" spans="1:7" x14ac:dyDescent="0.35">
      <c r="A299" t="s">
        <v>271</v>
      </c>
      <c r="C299" s="60"/>
    </row>
    <row r="300" spans="1:7" x14ac:dyDescent="0.35">
      <c r="A300" t="s">
        <v>234</v>
      </c>
    </row>
    <row r="301" spans="1:7" x14ac:dyDescent="0.35">
      <c r="B301" s="88" t="s">
        <v>235</v>
      </c>
      <c r="C301" s="89" t="s">
        <v>236</v>
      </c>
      <c r="D301" s="89" t="s">
        <v>237</v>
      </c>
      <c r="E301" s="90" t="s">
        <v>238</v>
      </c>
      <c r="F301" s="90" t="s">
        <v>239</v>
      </c>
      <c r="G301" s="91" t="s">
        <v>240</v>
      </c>
    </row>
    <row r="302" spans="1:7" x14ac:dyDescent="0.35">
      <c r="B302" s="86" t="s">
        <v>241</v>
      </c>
      <c r="C302" s="24">
        <f>$D$238</f>
        <v>266961.8518518518</v>
      </c>
      <c r="D302" s="80">
        <v>2500</v>
      </c>
      <c r="E302" s="2">
        <v>0</v>
      </c>
      <c r="F302" s="2" t="s">
        <v>242</v>
      </c>
      <c r="G302" s="81">
        <f>(C302/D302)*E302</f>
        <v>0</v>
      </c>
    </row>
    <row r="303" spans="1:7" x14ac:dyDescent="0.35">
      <c r="B303" s="86" t="s">
        <v>243</v>
      </c>
      <c r="C303" s="24">
        <f>$D$238</f>
        <v>266961.8518518518</v>
      </c>
      <c r="D303" s="80">
        <v>30000</v>
      </c>
      <c r="E303" s="2">
        <f>200+25</f>
        <v>225</v>
      </c>
      <c r="F303" s="2">
        <v>10</v>
      </c>
      <c r="G303" s="81">
        <f>(C303/D303)*(E303+F303)</f>
        <v>2091.2011728395055</v>
      </c>
    </row>
    <row r="304" spans="1:7" x14ac:dyDescent="0.35">
      <c r="B304" s="86" t="s">
        <v>244</v>
      </c>
      <c r="C304" s="24">
        <f>$D$238</f>
        <v>266961.8518518518</v>
      </c>
      <c r="D304" s="80">
        <v>10000</v>
      </c>
      <c r="E304" s="2">
        <v>45</v>
      </c>
      <c r="F304" s="2">
        <v>10</v>
      </c>
      <c r="G304" s="81">
        <f>(C304/D304)*(E304+F304)</f>
        <v>1468.2901851851848</v>
      </c>
    </row>
    <row r="305" spans="1:7" ht="16" x14ac:dyDescent="0.5">
      <c r="B305" s="86" t="s">
        <v>245</v>
      </c>
      <c r="C305" s="24">
        <f>$D$238</f>
        <v>266961.8518518518</v>
      </c>
      <c r="D305" s="80">
        <v>2500</v>
      </c>
      <c r="E305" s="2">
        <v>15</v>
      </c>
      <c r="F305" s="2">
        <v>10</v>
      </c>
      <c r="G305" s="92">
        <f>(C305/D305)*(E305+F305)</f>
        <v>2669.6185185185177</v>
      </c>
    </row>
    <row r="306" spans="1:7" x14ac:dyDescent="0.35">
      <c r="B306" s="87"/>
      <c r="C306" s="20"/>
      <c r="D306" s="20"/>
      <c r="E306" s="20"/>
      <c r="F306" s="20" t="s">
        <v>83</v>
      </c>
      <c r="G306" s="453">
        <f>SUM(G302:G305)</f>
        <v>6229.109876543208</v>
      </c>
    </row>
    <row r="307" spans="1:7" x14ac:dyDescent="0.35">
      <c r="G307" s="83"/>
    </row>
    <row r="308" spans="1:7" x14ac:dyDescent="0.35">
      <c r="A308" t="s">
        <v>246</v>
      </c>
    </row>
    <row r="309" spans="1:7" x14ac:dyDescent="0.35">
      <c r="A309" t="s">
        <v>247</v>
      </c>
    </row>
    <row r="310" spans="1:7" x14ac:dyDescent="0.35">
      <c r="A310" s="93" t="s">
        <v>681</v>
      </c>
    </row>
    <row r="311" spans="1:7" x14ac:dyDescent="0.35">
      <c r="A311" s="93" t="s">
        <v>248</v>
      </c>
    </row>
    <row r="313" spans="1:7" x14ac:dyDescent="0.35">
      <c r="A313" t="s">
        <v>249</v>
      </c>
    </row>
    <row r="314" spans="1:7" x14ac:dyDescent="0.35">
      <c r="A314" t="s">
        <v>1280</v>
      </c>
      <c r="D314" s="21">
        <f>D234</f>
        <v>61.666666666666664</v>
      </c>
    </row>
    <row r="315" spans="1:7" x14ac:dyDescent="0.35">
      <c r="A315" t="s">
        <v>251</v>
      </c>
      <c r="D315">
        <v>1000</v>
      </c>
    </row>
    <row r="316" spans="1:7" x14ac:dyDescent="0.35">
      <c r="A316" t="s">
        <v>252</v>
      </c>
      <c r="D316" s="135">
        <v>25</v>
      </c>
    </row>
    <row r="317" spans="1:7" x14ac:dyDescent="0.35">
      <c r="A317" t="s">
        <v>253</v>
      </c>
      <c r="D317" s="454">
        <f>((D314*23*2000)/D315)*D316</f>
        <v>70916.666666666657</v>
      </c>
    </row>
    <row r="318" spans="1:7" x14ac:dyDescent="0.35">
      <c r="D318" s="100"/>
    </row>
    <row r="319" spans="1:7" x14ac:dyDescent="0.35">
      <c r="A319" t="s">
        <v>1183</v>
      </c>
    </row>
    <row r="320" spans="1:7" x14ac:dyDescent="0.35">
      <c r="A320" t="s">
        <v>272</v>
      </c>
    </row>
    <row r="321" spans="1:5" x14ac:dyDescent="0.35">
      <c r="A321" t="s">
        <v>254</v>
      </c>
    </row>
    <row r="322" spans="1:5" x14ac:dyDescent="0.35">
      <c r="A322" t="s">
        <v>255</v>
      </c>
    </row>
    <row r="323" spans="1:5" x14ac:dyDescent="0.35">
      <c r="A323" t="s">
        <v>256</v>
      </c>
    </row>
    <row r="325" spans="1:5" x14ac:dyDescent="0.35">
      <c r="A325" t="s">
        <v>257</v>
      </c>
      <c r="E325" s="59"/>
    </row>
    <row r="326" spans="1:5" x14ac:dyDescent="0.35">
      <c r="A326" t="s">
        <v>258</v>
      </c>
      <c r="C326">
        <v>150</v>
      </c>
    </row>
    <row r="327" spans="1:5" x14ac:dyDescent="0.35">
      <c r="A327" t="s">
        <v>259</v>
      </c>
      <c r="C327" s="23">
        <f>C274</f>
        <v>1190.2543368544752</v>
      </c>
    </row>
    <row r="328" spans="1:5" x14ac:dyDescent="0.35">
      <c r="A328" t="s">
        <v>260</v>
      </c>
      <c r="C328" s="455">
        <f>C326*C327</f>
        <v>178538.15052817127</v>
      </c>
    </row>
    <row r="329" spans="1:5" x14ac:dyDescent="0.35">
      <c r="D329" s="26"/>
    </row>
    <row r="330" spans="1:5" x14ac:dyDescent="0.35">
      <c r="A330" t="s">
        <v>261</v>
      </c>
    </row>
    <row r="331" spans="1:5" x14ac:dyDescent="0.35">
      <c r="A331" t="s">
        <v>262</v>
      </c>
      <c r="C331">
        <v>200</v>
      </c>
    </row>
    <row r="332" spans="1:5" x14ac:dyDescent="0.35">
      <c r="A332" t="s">
        <v>263</v>
      </c>
      <c r="C332" s="24">
        <f>(C274/10)/12</f>
        <v>9.9187861404539603</v>
      </c>
    </row>
    <row r="333" spans="1:5" x14ac:dyDescent="0.35">
      <c r="A333" t="s">
        <v>264</v>
      </c>
      <c r="C333" s="456">
        <f>C331*C332</f>
        <v>1983.7572280907921</v>
      </c>
    </row>
    <row r="335" spans="1:5" x14ac:dyDescent="0.35">
      <c r="A335" t="s">
        <v>380</v>
      </c>
    </row>
    <row r="336" spans="1:5" x14ac:dyDescent="0.35">
      <c r="A336" t="s">
        <v>551</v>
      </c>
    </row>
    <row r="337" spans="1:5" x14ac:dyDescent="0.35">
      <c r="A337" t="s">
        <v>265</v>
      </c>
    </row>
    <row r="339" spans="1:5" x14ac:dyDescent="0.35">
      <c r="A339" t="s">
        <v>266</v>
      </c>
    </row>
    <row r="340" spans="1:5" x14ac:dyDescent="0.35">
      <c r="A340" t="s">
        <v>549</v>
      </c>
      <c r="D340" s="21">
        <f>D234</f>
        <v>61.666666666666664</v>
      </c>
    </row>
    <row r="341" spans="1:5" x14ac:dyDescent="0.35">
      <c r="A341" t="s">
        <v>559</v>
      </c>
      <c r="D341">
        <v>0.25</v>
      </c>
    </row>
    <row r="342" spans="1:5" x14ac:dyDescent="0.35">
      <c r="A342" s="20" t="s">
        <v>552</v>
      </c>
      <c r="B342" s="20"/>
      <c r="C342" s="20"/>
      <c r="D342" s="452">
        <f>D340/D341</f>
        <v>246.66666666666666</v>
      </c>
    </row>
    <row r="343" spans="1:5" x14ac:dyDescent="0.35">
      <c r="A343" t="s">
        <v>269</v>
      </c>
      <c r="D343" s="455">
        <f>D342*'Rates 2020'!$J$13</f>
        <v>82043.8</v>
      </c>
    </row>
    <row r="344" spans="1:5" x14ac:dyDescent="0.35">
      <c r="D344" s="26"/>
    </row>
    <row r="345" spans="1:5" x14ac:dyDescent="0.35">
      <c r="A345" s="294" t="s">
        <v>1281</v>
      </c>
      <c r="B345" s="294"/>
      <c r="C345" s="294"/>
      <c r="D345" s="449"/>
      <c r="E345" s="393">
        <f>D343+C333+C328+D317+G306</f>
        <v>339711.48429947189</v>
      </c>
    </row>
    <row r="348" spans="1:5" x14ac:dyDescent="0.35">
      <c r="A348" s="121" t="s">
        <v>561</v>
      </c>
      <c r="B348" s="44"/>
      <c r="C348" s="393"/>
    </row>
    <row r="349" spans="1:5" x14ac:dyDescent="0.35">
      <c r="A349" t="s">
        <v>160</v>
      </c>
      <c r="E349" s="46"/>
    </row>
    <row r="350" spans="1:5" s="60" customFormat="1" x14ac:dyDescent="0.35">
      <c r="A350" s="60" t="s">
        <v>886</v>
      </c>
      <c r="E350" s="46"/>
    </row>
    <row r="351" spans="1:5" x14ac:dyDescent="0.35">
      <c r="A351" t="s">
        <v>1409</v>
      </c>
      <c r="E351" s="46"/>
    </row>
    <row r="352" spans="1:5" x14ac:dyDescent="0.35">
      <c r="A352" t="s">
        <v>278</v>
      </c>
      <c r="E352" s="46"/>
    </row>
    <row r="353" spans="1:7" x14ac:dyDescent="0.35">
      <c r="A353" t="s">
        <v>1296</v>
      </c>
      <c r="E353" s="46"/>
    </row>
    <row r="354" spans="1:7" x14ac:dyDescent="0.35">
      <c r="E354" s="46"/>
    </row>
    <row r="355" spans="1:7" x14ac:dyDescent="0.35">
      <c r="A355" t="s">
        <v>1284</v>
      </c>
      <c r="D355" s="21">
        <f>D234</f>
        <v>61.666666666666664</v>
      </c>
      <c r="E355" t="s">
        <v>1286</v>
      </c>
    </row>
    <row r="356" spans="1:7" x14ac:dyDescent="0.35">
      <c r="A356" t="s">
        <v>1285</v>
      </c>
      <c r="D356" s="21">
        <v>13.5</v>
      </c>
      <c r="E356" t="s">
        <v>1286</v>
      </c>
    </row>
    <row r="357" spans="1:7" x14ac:dyDescent="0.35">
      <c r="A357" s="20" t="s">
        <v>275</v>
      </c>
      <c r="B357" s="20"/>
      <c r="C357" s="20"/>
      <c r="D357" s="617">
        <v>1500</v>
      </c>
    </row>
    <row r="358" spans="1:7" x14ac:dyDescent="0.35">
      <c r="A358" t="s">
        <v>170</v>
      </c>
      <c r="D358" s="94">
        <f>(D355+D356)*D357</f>
        <v>112749.99999999999</v>
      </c>
    </row>
    <row r="359" spans="1:7" x14ac:dyDescent="0.35">
      <c r="E359" s="46"/>
    </row>
    <row r="360" spans="1:7" x14ac:dyDescent="0.35">
      <c r="A360" s="294" t="s">
        <v>562</v>
      </c>
      <c r="B360" s="294"/>
      <c r="C360" s="294"/>
      <c r="D360" s="449"/>
      <c r="E360" s="393">
        <f>D358</f>
        <v>112749.99999999999</v>
      </c>
    </row>
    <row r="361" spans="1:7" x14ac:dyDescent="0.35">
      <c r="E361" s="50"/>
    </row>
    <row r="362" spans="1:7" x14ac:dyDescent="0.35">
      <c r="A362" s="449" t="s">
        <v>563</v>
      </c>
      <c r="B362" s="449"/>
      <c r="C362" s="449"/>
      <c r="D362" s="449"/>
      <c r="E362" s="451">
        <f>D290+E345+E360</f>
        <v>2587646.836639347</v>
      </c>
      <c r="G362" s="26"/>
    </row>
    <row r="363" spans="1:7" x14ac:dyDescent="0.35">
      <c r="E363" s="50"/>
    </row>
    <row r="364" spans="1:7" s="5" customFormat="1" ht="18.5" x14ac:dyDescent="0.45">
      <c r="A364" s="125" t="s">
        <v>1287</v>
      </c>
      <c r="B364" s="95"/>
      <c r="C364" s="95"/>
      <c r="D364" s="95"/>
      <c r="E364" s="458"/>
      <c r="F364" s="345">
        <f>E362+D204+E174</f>
        <v>2649646.836639347</v>
      </c>
    </row>
    <row r="365" spans="1:7" x14ac:dyDescent="0.35">
      <c r="E365" s="50"/>
    </row>
    <row r="368" spans="1:7" s="5" customFormat="1" ht="18.5" x14ac:dyDescent="0.45">
      <c r="A368" s="125" t="s">
        <v>571</v>
      </c>
      <c r="B368" s="125"/>
      <c r="C368" s="125"/>
      <c r="D368" s="125"/>
      <c r="E368" s="95"/>
      <c r="F368" s="95"/>
    </row>
    <row r="369" spans="1:5" x14ac:dyDescent="0.35">
      <c r="A369" t="s">
        <v>160</v>
      </c>
    </row>
    <row r="370" spans="1:5" x14ac:dyDescent="0.35">
      <c r="A370" t="s">
        <v>526</v>
      </c>
    </row>
    <row r="372" spans="1:5" x14ac:dyDescent="0.35">
      <c r="A372" s="44" t="s">
        <v>445</v>
      </c>
      <c r="B372" s="44"/>
      <c r="C372" s="44"/>
      <c r="D372" s="44"/>
      <c r="E372" s="44"/>
    </row>
    <row r="373" spans="1:5" x14ac:dyDescent="0.35">
      <c r="A373" t="s">
        <v>160</v>
      </c>
    </row>
    <row r="374" spans="1:5" x14ac:dyDescent="0.35">
      <c r="A374" t="s">
        <v>446</v>
      </c>
    </row>
    <row r="375" spans="1:5" x14ac:dyDescent="0.35">
      <c r="A375" t="s">
        <v>1297</v>
      </c>
    </row>
    <row r="376" spans="1:5" x14ac:dyDescent="0.35">
      <c r="A376" t="s">
        <v>635</v>
      </c>
    </row>
    <row r="377" spans="1:5" x14ac:dyDescent="0.35">
      <c r="A377" s="61" t="s">
        <v>636</v>
      </c>
    </row>
    <row r="410" spans="1:1" x14ac:dyDescent="0.35">
      <c r="A410" t="s">
        <v>1298</v>
      </c>
    </row>
    <row r="411" spans="1:1" x14ac:dyDescent="0.35">
      <c r="A411" t="s">
        <v>1301</v>
      </c>
    </row>
    <row r="443" customFormat="1" x14ac:dyDescent="0.35"/>
    <row r="444" customFormat="1" x14ac:dyDescent="0.35"/>
    <row r="445" customFormat="1" x14ac:dyDescent="0.35"/>
    <row r="446" customFormat="1" x14ac:dyDescent="0.35"/>
    <row r="447" customFormat="1" x14ac:dyDescent="0.35"/>
    <row r="448" customFormat="1" x14ac:dyDescent="0.35"/>
    <row r="460" spans="1:2" x14ac:dyDescent="0.35">
      <c r="A460" s="44" t="s">
        <v>1302</v>
      </c>
      <c r="B460" s="44"/>
    </row>
    <row r="461" spans="1:2" x14ac:dyDescent="0.35">
      <c r="A461" t="s">
        <v>160</v>
      </c>
    </row>
    <row r="462" spans="1:2" x14ac:dyDescent="0.35">
      <c r="A462" t="s">
        <v>1299</v>
      </c>
    </row>
    <row r="463" spans="1:2" x14ac:dyDescent="0.35">
      <c r="A463" t="s">
        <v>1300</v>
      </c>
    </row>
    <row r="465" spans="1:10" x14ac:dyDescent="0.35">
      <c r="A465" t="s">
        <v>447</v>
      </c>
      <c r="D465">
        <v>2</v>
      </c>
    </row>
    <row r="466" spans="1:10" x14ac:dyDescent="0.35">
      <c r="A466" t="s">
        <v>448</v>
      </c>
      <c r="D466">
        <v>36</v>
      </c>
    </row>
    <row r="467" spans="1:10" x14ac:dyDescent="0.35">
      <c r="A467" t="s">
        <v>449</v>
      </c>
      <c r="D467">
        <f>D465*D466</f>
        <v>72</v>
      </c>
    </row>
    <row r="468" spans="1:10" x14ac:dyDescent="0.35">
      <c r="A468" t="s">
        <v>450</v>
      </c>
      <c r="D468">
        <v>300</v>
      </c>
    </row>
    <row r="469" spans="1:10" x14ac:dyDescent="0.35">
      <c r="A469" t="s">
        <v>499</v>
      </c>
      <c r="D469" s="59">
        <f>D467*D468</f>
        <v>21600</v>
      </c>
    </row>
    <row r="470" spans="1:10" x14ac:dyDescent="0.35">
      <c r="D470" s="59"/>
    </row>
    <row r="471" spans="1:10" x14ac:dyDescent="0.35">
      <c r="A471" s="44" t="s">
        <v>1303</v>
      </c>
      <c r="B471" s="122"/>
      <c r="C471" s="44"/>
      <c r="D471" s="188">
        <f>D469</f>
        <v>21600</v>
      </c>
    </row>
    <row r="472" spans="1:10" x14ac:dyDescent="0.35">
      <c r="D472" s="59"/>
    </row>
    <row r="474" spans="1:10" x14ac:dyDescent="0.35">
      <c r="A474" s="44" t="s">
        <v>488</v>
      </c>
      <c r="B474" s="148"/>
      <c r="C474" s="148"/>
      <c r="D474" s="459"/>
      <c r="I474" s="139"/>
      <c r="J474" s="139"/>
    </row>
    <row r="475" spans="1:10" x14ac:dyDescent="0.35">
      <c r="A475" t="s">
        <v>160</v>
      </c>
      <c r="D475" s="139"/>
      <c r="E475" s="139"/>
      <c r="F475" s="201"/>
      <c r="I475" s="139"/>
      <c r="J475" s="139"/>
    </row>
    <row r="476" spans="1:10" x14ac:dyDescent="0.35">
      <c r="A476" t="s">
        <v>635</v>
      </c>
      <c r="D476" s="139"/>
      <c r="E476" s="139"/>
      <c r="F476" s="201"/>
      <c r="I476" s="139"/>
      <c r="J476" s="139"/>
    </row>
    <row r="477" spans="1:10" x14ac:dyDescent="0.35">
      <c r="A477" s="61" t="s">
        <v>636</v>
      </c>
      <c r="D477" s="139"/>
      <c r="E477" s="139"/>
      <c r="F477" s="201"/>
      <c r="I477" s="139"/>
      <c r="J477" s="139"/>
    </row>
    <row r="478" spans="1:10" x14ac:dyDescent="0.35">
      <c r="D478" s="139"/>
      <c r="E478" s="139"/>
      <c r="F478" s="201"/>
      <c r="I478" s="139"/>
      <c r="J478" s="139"/>
    </row>
    <row r="479" spans="1:10" x14ac:dyDescent="0.35">
      <c r="A479" s="86"/>
      <c r="B479" s="2" t="s">
        <v>451</v>
      </c>
      <c r="C479" s="2" t="s">
        <v>452</v>
      </c>
      <c r="D479" s="2" t="s">
        <v>453</v>
      </c>
      <c r="G479" s="138"/>
      <c r="J479" s="139"/>
    </row>
    <row r="480" spans="1:10" x14ac:dyDescent="0.35">
      <c r="A480" s="169" t="s">
        <v>454</v>
      </c>
      <c r="B480" s="153">
        <f>Inputs!E302</f>
        <v>160.435</v>
      </c>
      <c r="C480" s="149">
        <v>40</v>
      </c>
      <c r="D480" s="156">
        <f>B480*C480</f>
        <v>6417.4</v>
      </c>
      <c r="E480" s="141"/>
      <c r="G480" s="60"/>
    </row>
    <row r="481" spans="1:11" x14ac:dyDescent="0.35">
      <c r="A481" s="169" t="s">
        <v>455</v>
      </c>
      <c r="B481" s="153">
        <f>Inputs!E303</f>
        <v>138.73500000000001</v>
      </c>
      <c r="C481" s="149">
        <v>8</v>
      </c>
      <c r="D481" s="156">
        <f>B481*C481</f>
        <v>1109.8800000000001</v>
      </c>
      <c r="E481" s="141"/>
      <c r="K481" s="139"/>
    </row>
    <row r="482" spans="1:11" x14ac:dyDescent="0.35">
      <c r="A482" s="169" t="s">
        <v>491</v>
      </c>
      <c r="B482" s="153">
        <f>Inputs!E305</f>
        <v>123.6525</v>
      </c>
      <c r="C482" s="149">
        <f>8*2</f>
        <v>16</v>
      </c>
      <c r="D482" s="156">
        <f>B482*C482</f>
        <v>1978.44</v>
      </c>
      <c r="E482" s="141"/>
      <c r="G482" s="166"/>
      <c r="H482" s="166"/>
      <c r="I482" s="139"/>
      <c r="K482" s="139"/>
    </row>
    <row r="483" spans="1:11" x14ac:dyDescent="0.35">
      <c r="A483" s="169" t="s">
        <v>456</v>
      </c>
      <c r="B483" s="153">
        <f>Inputs!E304</f>
        <v>71.552500000000009</v>
      </c>
      <c r="C483" s="149">
        <v>8</v>
      </c>
      <c r="D483" s="156">
        <f>B483*C483</f>
        <v>572.42000000000007</v>
      </c>
      <c r="E483" s="141"/>
      <c r="G483" s="139"/>
      <c r="H483" s="139"/>
      <c r="K483" s="139"/>
    </row>
    <row r="484" spans="1:11" x14ac:dyDescent="0.35">
      <c r="A484" s="169" t="s">
        <v>457</v>
      </c>
      <c r="B484" s="153">
        <f>Inputs!E307</f>
        <v>62</v>
      </c>
      <c r="C484" s="149">
        <v>0</v>
      </c>
      <c r="D484" s="167">
        <f>B484*C484</f>
        <v>0</v>
      </c>
      <c r="E484" s="143"/>
      <c r="G484" s="139"/>
      <c r="H484" s="139"/>
      <c r="K484" s="139"/>
    </row>
    <row r="485" spans="1:11" x14ac:dyDescent="0.35">
      <c r="A485" s="142"/>
      <c r="B485" s="149"/>
      <c r="C485" s="149"/>
      <c r="D485" s="168">
        <f>SUM(D480:D484)</f>
        <v>10078.14</v>
      </c>
      <c r="G485" s="139"/>
      <c r="H485" s="139"/>
      <c r="K485" s="139"/>
    </row>
    <row r="486" spans="1:11" x14ac:dyDescent="0.35">
      <c r="A486" s="142"/>
      <c r="B486" s="149"/>
      <c r="C486" s="149"/>
      <c r="D486" s="168"/>
      <c r="G486" s="139"/>
      <c r="H486" s="139"/>
      <c r="K486" s="139"/>
    </row>
    <row r="487" spans="1:11" x14ac:dyDescent="0.35">
      <c r="A487" s="44" t="s">
        <v>520</v>
      </c>
      <c r="B487" s="148"/>
      <c r="C487" s="148"/>
      <c r="D487" s="460">
        <f>D485</f>
        <v>10078.14</v>
      </c>
      <c r="E487" s="148"/>
      <c r="K487" s="139"/>
    </row>
    <row r="488" spans="1:11" x14ac:dyDescent="0.35">
      <c r="A488" s="149"/>
      <c r="B488" s="168"/>
      <c r="E488" s="139"/>
      <c r="H488" s="139"/>
      <c r="K488" s="139"/>
    </row>
    <row r="489" spans="1:11" x14ac:dyDescent="0.35">
      <c r="A489" s="149"/>
      <c r="B489" s="168"/>
      <c r="E489" s="139"/>
      <c r="H489" s="139"/>
      <c r="K489" s="139"/>
    </row>
    <row r="490" spans="1:11" x14ac:dyDescent="0.35">
      <c r="A490" s="467" t="s">
        <v>489</v>
      </c>
      <c r="B490" s="148"/>
      <c r="C490" s="148"/>
      <c r="D490" s="144"/>
      <c r="E490" s="139"/>
      <c r="I490" s="139"/>
      <c r="J490" s="145"/>
      <c r="K490" s="139"/>
    </row>
    <row r="491" spans="1:11" x14ac:dyDescent="0.35">
      <c r="A491" t="s">
        <v>160</v>
      </c>
      <c r="C491" s="139"/>
      <c r="D491" s="139"/>
      <c r="E491" s="139"/>
      <c r="F491" s="144"/>
      <c r="G491" s="139"/>
      <c r="I491" s="139"/>
      <c r="J491" s="145"/>
      <c r="K491" s="139"/>
    </row>
    <row r="492" spans="1:11" x14ac:dyDescent="0.35">
      <c r="A492" t="s">
        <v>490</v>
      </c>
      <c r="C492" s="139"/>
      <c r="D492" s="139"/>
      <c r="E492" s="139"/>
      <c r="F492" s="144"/>
      <c r="G492" s="139"/>
      <c r="I492" s="139"/>
      <c r="J492" s="145"/>
      <c r="K492" s="139"/>
    </row>
    <row r="493" spans="1:11" x14ac:dyDescent="0.35">
      <c r="A493" t="s">
        <v>709</v>
      </c>
      <c r="C493" s="139"/>
      <c r="D493" s="139"/>
      <c r="E493" s="139"/>
      <c r="F493" s="144"/>
      <c r="G493" s="139"/>
      <c r="I493" s="139"/>
      <c r="J493" s="145"/>
      <c r="K493" s="139"/>
    </row>
    <row r="494" spans="1:11" x14ac:dyDescent="0.35">
      <c r="A494" t="s">
        <v>494</v>
      </c>
      <c r="C494" s="139"/>
      <c r="D494" s="139"/>
      <c r="E494" s="139"/>
      <c r="F494" s="144"/>
      <c r="G494" s="139"/>
      <c r="I494" s="139"/>
      <c r="J494" s="145"/>
      <c r="K494" s="139"/>
    </row>
    <row r="495" spans="1:11" x14ac:dyDescent="0.35">
      <c r="C495" s="139"/>
      <c r="D495" s="139"/>
      <c r="E495" s="139"/>
      <c r="F495" s="144"/>
      <c r="G495" s="139"/>
      <c r="I495" s="139"/>
      <c r="J495" s="145"/>
      <c r="K495" s="139"/>
    </row>
    <row r="496" spans="1:11" x14ac:dyDescent="0.35">
      <c r="A496" s="169" t="s">
        <v>454</v>
      </c>
      <c r="B496" s="153">
        <f>B480</f>
        <v>160.435</v>
      </c>
      <c r="C496" s="149">
        <f>8*2</f>
        <v>16</v>
      </c>
      <c r="D496" s="157">
        <f t="shared" ref="D496:D501" si="9">B496*C496</f>
        <v>2566.96</v>
      </c>
      <c r="F496" s="144"/>
      <c r="G496" s="139"/>
    </row>
    <row r="497" spans="1:7" x14ac:dyDescent="0.35">
      <c r="A497" s="169" t="s">
        <v>455</v>
      </c>
      <c r="B497" s="153">
        <f>B481</f>
        <v>138.73500000000001</v>
      </c>
      <c r="C497" s="149">
        <f>8*2</f>
        <v>16</v>
      </c>
      <c r="D497" s="157">
        <f t="shared" si="9"/>
        <v>2219.7600000000002</v>
      </c>
      <c r="F497" s="144"/>
      <c r="G497" s="139"/>
    </row>
    <row r="498" spans="1:7" x14ac:dyDescent="0.35">
      <c r="A498" s="169" t="s">
        <v>491</v>
      </c>
      <c r="B498" s="153">
        <f>B482</f>
        <v>123.6525</v>
      </c>
      <c r="C498" s="149">
        <f>7*10*2</f>
        <v>140</v>
      </c>
      <c r="D498" s="157">
        <f t="shared" si="9"/>
        <v>17311.350000000002</v>
      </c>
      <c r="F498" s="144"/>
      <c r="G498" s="139"/>
    </row>
    <row r="499" spans="1:7" x14ac:dyDescent="0.35">
      <c r="A499" s="169" t="s">
        <v>456</v>
      </c>
      <c r="B499" s="153">
        <f>B483</f>
        <v>71.552500000000009</v>
      </c>
      <c r="C499" s="149">
        <f>4*2</f>
        <v>8</v>
      </c>
      <c r="D499" s="157">
        <f t="shared" si="9"/>
        <v>572.42000000000007</v>
      </c>
      <c r="F499" s="144"/>
      <c r="G499" s="139"/>
    </row>
    <row r="500" spans="1:7" x14ac:dyDescent="0.35">
      <c r="A500" s="169" t="s">
        <v>457</v>
      </c>
      <c r="B500" s="153">
        <f>B484</f>
        <v>62</v>
      </c>
      <c r="C500" s="149">
        <v>0</v>
      </c>
      <c r="D500" s="157">
        <f t="shared" si="9"/>
        <v>0</v>
      </c>
      <c r="F500" s="144"/>
      <c r="G500" s="139"/>
    </row>
    <row r="501" spans="1:7" x14ac:dyDescent="0.35">
      <c r="A501" s="169" t="s">
        <v>458</v>
      </c>
      <c r="B501" s="171">
        <v>1000</v>
      </c>
      <c r="C501" s="149">
        <v>1</v>
      </c>
      <c r="D501" s="172">
        <f t="shared" si="9"/>
        <v>1000</v>
      </c>
      <c r="F501" s="144"/>
      <c r="G501" s="146"/>
    </row>
    <row r="502" spans="1:7" x14ac:dyDescent="0.35">
      <c r="A502" s="170"/>
      <c r="B502" s="153"/>
      <c r="C502" s="149"/>
      <c r="D502" s="168">
        <f>SUM(D496:D501)</f>
        <v>23670.490000000005</v>
      </c>
      <c r="E502" s="147"/>
      <c r="G502" s="139"/>
    </row>
    <row r="503" spans="1:7" x14ac:dyDescent="0.35">
      <c r="A503" s="170"/>
      <c r="B503" s="153"/>
      <c r="C503" s="149"/>
      <c r="D503" s="168"/>
      <c r="E503" s="147"/>
      <c r="G503" s="139"/>
    </row>
    <row r="504" spans="1:7" x14ac:dyDescent="0.35">
      <c r="A504" s="461" t="s">
        <v>521</v>
      </c>
      <c r="B504" s="462"/>
      <c r="C504" s="463"/>
      <c r="D504" s="464">
        <f>D502</f>
        <v>23670.490000000005</v>
      </c>
    </row>
    <row r="505" spans="1:7" x14ac:dyDescent="0.35">
      <c r="A505" s="149"/>
      <c r="B505" s="168"/>
      <c r="C505" s="147"/>
      <c r="E505" s="139"/>
    </row>
    <row r="506" spans="1:7" x14ac:dyDescent="0.35">
      <c r="A506" s="149"/>
      <c r="B506" s="168"/>
      <c r="C506" s="147"/>
      <c r="E506" s="139"/>
    </row>
    <row r="507" spans="1:7" x14ac:dyDescent="0.35">
      <c r="A507" s="462" t="s">
        <v>459</v>
      </c>
      <c r="B507" s="464"/>
      <c r="C507" s="147"/>
      <c r="E507" s="139"/>
    </row>
    <row r="508" spans="1:7" x14ac:dyDescent="0.35">
      <c r="A508" t="s">
        <v>160</v>
      </c>
      <c r="B508" s="153"/>
      <c r="C508" s="149"/>
      <c r="D508" s="168"/>
      <c r="E508" s="147"/>
      <c r="G508" s="139"/>
    </row>
    <row r="509" spans="1:7" x14ac:dyDescent="0.35">
      <c r="A509" t="s">
        <v>523</v>
      </c>
      <c r="B509" s="153"/>
      <c r="C509" s="149"/>
      <c r="D509" s="168"/>
      <c r="E509" s="147"/>
      <c r="G509" s="139"/>
    </row>
    <row r="510" spans="1:7" x14ac:dyDescent="0.35">
      <c r="A510" t="s">
        <v>492</v>
      </c>
      <c r="B510" s="153"/>
      <c r="C510" s="149"/>
      <c r="D510" s="168"/>
      <c r="E510" s="147"/>
      <c r="G510" s="139"/>
    </row>
    <row r="511" spans="1:7" x14ac:dyDescent="0.35">
      <c r="A511" t="s">
        <v>494</v>
      </c>
      <c r="D511" s="168"/>
      <c r="E511" s="147"/>
      <c r="G511" s="139"/>
    </row>
    <row r="512" spans="1:7" x14ac:dyDescent="0.35">
      <c r="A512" s="175" t="s">
        <v>500</v>
      </c>
      <c r="C512" s="153">
        <v>100</v>
      </c>
      <c r="D512" s="149">
        <f>4*2</f>
        <v>8</v>
      </c>
      <c r="E512" s="168">
        <f>C512*D512</f>
        <v>800</v>
      </c>
      <c r="G512" s="139"/>
    </row>
    <row r="513" spans="1:11" x14ac:dyDescent="0.35">
      <c r="A513" s="175"/>
      <c r="B513" s="153"/>
      <c r="C513" s="149"/>
      <c r="D513" s="168"/>
      <c r="E513" s="147"/>
      <c r="G513" s="139"/>
    </row>
    <row r="514" spans="1:11" x14ac:dyDescent="0.35">
      <c r="A514" s="462" t="s">
        <v>522</v>
      </c>
      <c r="B514" s="464"/>
      <c r="C514" s="465"/>
      <c r="D514" s="466">
        <f>E512</f>
        <v>800</v>
      </c>
      <c r="G514" s="139"/>
    </row>
    <row r="515" spans="1:11" x14ac:dyDescent="0.35">
      <c r="A515" s="149"/>
      <c r="B515" s="168"/>
      <c r="C515" s="147"/>
      <c r="G515" s="139"/>
    </row>
    <row r="516" spans="1:11" x14ac:dyDescent="0.35">
      <c r="A516" s="149"/>
      <c r="B516" s="168"/>
      <c r="C516" s="147"/>
      <c r="G516" s="139"/>
    </row>
    <row r="517" spans="1:11" x14ac:dyDescent="0.35">
      <c r="A517" s="467" t="s">
        <v>460</v>
      </c>
      <c r="B517" s="463"/>
      <c r="C517" s="464"/>
      <c r="G517" s="139"/>
    </row>
    <row r="518" spans="1:11" x14ac:dyDescent="0.35">
      <c r="A518" t="s">
        <v>160</v>
      </c>
      <c r="B518" s="139"/>
      <c r="C518" s="139"/>
      <c r="D518" s="139"/>
      <c r="E518" s="139"/>
      <c r="F518" s="144"/>
      <c r="G518" s="147"/>
      <c r="I518" s="147"/>
      <c r="J518" s="145"/>
      <c r="K518" s="139"/>
    </row>
    <row r="519" spans="1:11" x14ac:dyDescent="0.35">
      <c r="A519" s="60" t="s">
        <v>495</v>
      </c>
      <c r="B519" s="139"/>
      <c r="C519" s="139"/>
      <c r="D519" s="139"/>
      <c r="E519" s="139"/>
      <c r="F519" s="144"/>
      <c r="G519" s="147"/>
      <c r="I519" s="147"/>
      <c r="J519" s="145"/>
      <c r="K519" s="139"/>
    </row>
    <row r="520" spans="1:11" x14ac:dyDescent="0.35">
      <c r="A520" s="60" t="s">
        <v>496</v>
      </c>
      <c r="B520" s="139"/>
      <c r="C520" s="139"/>
      <c r="D520" s="139"/>
      <c r="E520" s="139"/>
      <c r="F520" s="144"/>
      <c r="G520" s="147"/>
      <c r="I520" s="147"/>
      <c r="J520" s="145"/>
      <c r="K520" s="139"/>
    </row>
    <row r="521" spans="1:11" x14ac:dyDescent="0.35">
      <c r="A521" t="s">
        <v>494</v>
      </c>
      <c r="B521" s="139"/>
      <c r="C521" s="139"/>
      <c r="D521" s="139"/>
      <c r="E521" s="139"/>
      <c r="F521" s="144"/>
      <c r="G521" s="147"/>
      <c r="I521" s="147"/>
      <c r="J521" s="145"/>
      <c r="K521" s="139"/>
    </row>
    <row r="522" spans="1:11" x14ac:dyDescent="0.35">
      <c r="B522" s="139"/>
      <c r="C522" s="139"/>
      <c r="D522" s="139"/>
      <c r="E522" s="139"/>
      <c r="F522" s="144"/>
      <c r="G522" s="147"/>
      <c r="I522" s="147"/>
      <c r="J522" s="145"/>
      <c r="K522" s="139"/>
    </row>
    <row r="523" spans="1:11" x14ac:dyDescent="0.35">
      <c r="B523" s="139"/>
      <c r="C523" s="139"/>
      <c r="D523" s="139"/>
      <c r="E523" s="139"/>
      <c r="F523" s="144"/>
      <c r="G523" s="147"/>
      <c r="I523" s="147"/>
      <c r="J523" s="145"/>
      <c r="K523" s="139"/>
    </row>
    <row r="524" spans="1:11" x14ac:dyDescent="0.35">
      <c r="A524" s="140" t="s">
        <v>454</v>
      </c>
      <c r="B524" s="153">
        <f>B496</f>
        <v>160.435</v>
      </c>
      <c r="C524" s="149">
        <f>4*2</f>
        <v>8</v>
      </c>
      <c r="D524" s="157">
        <f t="shared" ref="D524:D529" si="10">B524*C524</f>
        <v>1283.48</v>
      </c>
      <c r="F524" s="144"/>
    </row>
    <row r="525" spans="1:11" x14ac:dyDescent="0.35">
      <c r="A525" s="140" t="s">
        <v>455</v>
      </c>
      <c r="B525" s="153">
        <f>B497</f>
        <v>138.73500000000001</v>
      </c>
      <c r="C525" s="149">
        <f>4*2</f>
        <v>8</v>
      </c>
      <c r="D525" s="157">
        <f t="shared" si="10"/>
        <v>1109.8800000000001</v>
      </c>
      <c r="F525" s="144"/>
    </row>
    <row r="526" spans="1:11" x14ac:dyDescent="0.35">
      <c r="A526" s="140" t="s">
        <v>493</v>
      </c>
      <c r="B526" s="153">
        <f>B498</f>
        <v>123.6525</v>
      </c>
      <c r="C526" s="149">
        <f>40*2*2</f>
        <v>160</v>
      </c>
      <c r="D526" s="157">
        <f t="shared" si="10"/>
        <v>19784.400000000001</v>
      </c>
      <c r="F526" s="144"/>
    </row>
    <row r="527" spans="1:11" x14ac:dyDescent="0.35">
      <c r="A527" s="140" t="s">
        <v>456</v>
      </c>
      <c r="B527" s="153">
        <f>B499</f>
        <v>71.552500000000009</v>
      </c>
      <c r="C527" s="149">
        <f>2*4</f>
        <v>8</v>
      </c>
      <c r="D527" s="157">
        <f t="shared" si="10"/>
        <v>572.42000000000007</v>
      </c>
      <c r="E527" s="60" t="s">
        <v>497</v>
      </c>
      <c r="F527" s="144"/>
    </row>
    <row r="528" spans="1:11" x14ac:dyDescent="0.35">
      <c r="A528" s="140" t="s">
        <v>457</v>
      </c>
      <c r="B528" s="153">
        <f>B500</f>
        <v>62</v>
      </c>
      <c r="C528" s="149">
        <f>2*8</f>
        <v>16</v>
      </c>
      <c r="D528" s="157">
        <f t="shared" si="10"/>
        <v>992</v>
      </c>
      <c r="E528" s="60" t="s">
        <v>498</v>
      </c>
      <c r="F528" s="144"/>
    </row>
    <row r="529" spans="1:8" x14ac:dyDescent="0.35">
      <c r="A529" s="140" t="s">
        <v>461</v>
      </c>
      <c r="B529" s="153">
        <v>25</v>
      </c>
      <c r="C529" s="149">
        <f>2*8</f>
        <v>16</v>
      </c>
      <c r="D529" s="174">
        <f t="shared" si="10"/>
        <v>400</v>
      </c>
      <c r="E529" s="60" t="s">
        <v>498</v>
      </c>
      <c r="F529" s="144"/>
      <c r="H529" s="139"/>
    </row>
    <row r="530" spans="1:8" x14ac:dyDescent="0.35">
      <c r="A530" s="142"/>
      <c r="B530" s="139"/>
      <c r="C530" s="139"/>
      <c r="D530" s="171">
        <f>SUM(D524:D529)</f>
        <v>24142.18</v>
      </c>
      <c r="E530" s="147"/>
      <c r="F530" s="173"/>
      <c r="H530" s="139"/>
    </row>
    <row r="531" spans="1:8" x14ac:dyDescent="0.35">
      <c r="A531" s="139"/>
      <c r="B531" s="139"/>
      <c r="C531" s="139"/>
      <c r="D531" s="171"/>
      <c r="E531" s="147"/>
      <c r="F531" s="173"/>
      <c r="H531" s="139"/>
    </row>
    <row r="532" spans="1:8" x14ac:dyDescent="0.35">
      <c r="B532" s="121" t="s">
        <v>524</v>
      </c>
      <c r="C532" s="148"/>
      <c r="D532" s="186">
        <f>D530</f>
        <v>24142.18</v>
      </c>
      <c r="H532" s="139"/>
    </row>
    <row r="533" spans="1:8" x14ac:dyDescent="0.35">
      <c r="C533" s="60"/>
      <c r="D533" s="139"/>
      <c r="E533" s="139"/>
      <c r="F533" s="171"/>
      <c r="H533" s="139"/>
    </row>
    <row r="534" spans="1:8" s="5" customFormat="1" x14ac:dyDescent="0.35">
      <c r="A534" s="449" t="s">
        <v>527</v>
      </c>
      <c r="B534" s="294"/>
      <c r="C534" s="468"/>
      <c r="D534" s="469">
        <f>D532+D514+D504+D487+D471</f>
        <v>80290.81</v>
      </c>
      <c r="E534" s="470"/>
      <c r="H534" s="471"/>
    </row>
    <row r="535" spans="1:8" x14ac:dyDescent="0.35">
      <c r="B535" s="60"/>
      <c r="C535" s="139"/>
      <c r="E535" s="171"/>
      <c r="H535" s="139"/>
    </row>
    <row r="537" spans="1:8" x14ac:dyDescent="0.35">
      <c r="A537" s="44" t="s">
        <v>519</v>
      </c>
      <c r="B537" s="44"/>
      <c r="C537" s="44"/>
      <c r="D537" s="44"/>
      <c r="E537" s="44"/>
    </row>
    <row r="538" spans="1:8" x14ac:dyDescent="0.35">
      <c r="A538" t="s">
        <v>160</v>
      </c>
    </row>
    <row r="539" spans="1:8" x14ac:dyDescent="0.35">
      <c r="A539" t="s">
        <v>502</v>
      </c>
    </row>
    <row r="540" spans="1:8" x14ac:dyDescent="0.35">
      <c r="A540" t="s">
        <v>503</v>
      </c>
    </row>
    <row r="541" spans="1:8" x14ac:dyDescent="0.35">
      <c r="A541" t="s">
        <v>504</v>
      </c>
    </row>
    <row r="542" spans="1:8" x14ac:dyDescent="0.35">
      <c r="A542" t="s">
        <v>505</v>
      </c>
    </row>
    <row r="543" spans="1:8" x14ac:dyDescent="0.35">
      <c r="A543" t="s">
        <v>506</v>
      </c>
    </row>
    <row r="544" spans="1:8" x14ac:dyDescent="0.35">
      <c r="A544" t="s">
        <v>507</v>
      </c>
    </row>
    <row r="545" spans="1:7" x14ac:dyDescent="0.35">
      <c r="A545" t="s">
        <v>511</v>
      </c>
    </row>
    <row r="547" spans="1:7" x14ac:dyDescent="0.35">
      <c r="A547" t="s">
        <v>508</v>
      </c>
    </row>
    <row r="548" spans="1:7" x14ac:dyDescent="0.35">
      <c r="A548" t="s">
        <v>509</v>
      </c>
    </row>
    <row r="549" spans="1:7" x14ac:dyDescent="0.35">
      <c r="A549" t="s">
        <v>510</v>
      </c>
    </row>
    <row r="551" spans="1:7" x14ac:dyDescent="0.35">
      <c r="A551" t="s">
        <v>515</v>
      </c>
    </row>
    <row r="552" spans="1:7" x14ac:dyDescent="0.35">
      <c r="A552" t="s">
        <v>512</v>
      </c>
    </row>
    <row r="553" spans="1:7" x14ac:dyDescent="0.35">
      <c r="A553" t="s">
        <v>513</v>
      </c>
    </row>
    <row r="554" spans="1:7" x14ac:dyDescent="0.35">
      <c r="A554" t="s">
        <v>1304</v>
      </c>
    </row>
    <row r="556" spans="1:7" s="5" customFormat="1" x14ac:dyDescent="0.35">
      <c r="A556" s="449" t="s">
        <v>525</v>
      </c>
      <c r="B556" s="472"/>
      <c r="C556" s="472"/>
      <c r="D556" s="386">
        <v>25000</v>
      </c>
      <c r="G556" s="473"/>
    </row>
    <row r="558" spans="1:7" s="5" customFormat="1" ht="18.5" x14ac:dyDescent="0.45">
      <c r="A558" s="125" t="s">
        <v>572</v>
      </c>
      <c r="B558" s="125"/>
      <c r="C558" s="125"/>
      <c r="D558" s="125"/>
      <c r="E558" s="345">
        <f>D556+D534</f>
        <v>105290.81</v>
      </c>
    </row>
    <row r="562" spans="1:4" s="5" customFormat="1" ht="18.5" x14ac:dyDescent="0.45">
      <c r="A562" s="125" t="s">
        <v>579</v>
      </c>
      <c r="B562" s="125"/>
      <c r="C562" s="125"/>
    </row>
    <row r="564" spans="1:4" x14ac:dyDescent="0.35">
      <c r="A564" t="s">
        <v>1557</v>
      </c>
    </row>
    <row r="565" spans="1:4" ht="18.5" x14ac:dyDescent="0.45">
      <c r="A565" s="125" t="s">
        <v>582</v>
      </c>
      <c r="B565" s="96"/>
      <c r="C565" s="96"/>
      <c r="D565" s="191">
        <v>0</v>
      </c>
    </row>
    <row r="567" spans="1:4" x14ac:dyDescent="0.35">
      <c r="B567" s="23"/>
    </row>
    <row r="568" spans="1:4" x14ac:dyDescent="0.35">
      <c r="B568" s="190"/>
    </row>
    <row r="569" spans="1:4" ht="18.5" x14ac:dyDescent="0.45">
      <c r="A569" s="125" t="s">
        <v>573</v>
      </c>
    </row>
    <row r="570" spans="1:4" x14ac:dyDescent="0.35">
      <c r="A570" t="s">
        <v>160</v>
      </c>
    </row>
    <row r="571" spans="1:4" x14ac:dyDescent="0.35">
      <c r="A571" t="s">
        <v>583</v>
      </c>
      <c r="D571" s="23"/>
    </row>
    <row r="572" spans="1:4" x14ac:dyDescent="0.35">
      <c r="A572" t="s">
        <v>1306</v>
      </c>
      <c r="D572" s="190"/>
    </row>
    <row r="574" spans="1:4" x14ac:dyDescent="0.35">
      <c r="A574" t="s">
        <v>1307</v>
      </c>
    </row>
    <row r="575" spans="1:4" x14ac:dyDescent="0.35">
      <c r="A575" t="s">
        <v>710</v>
      </c>
    </row>
    <row r="577" spans="1:3" x14ac:dyDescent="0.35">
      <c r="A577" t="s">
        <v>584</v>
      </c>
    </row>
    <row r="578" spans="1:3" x14ac:dyDescent="0.35">
      <c r="A578" t="s">
        <v>586</v>
      </c>
    </row>
    <row r="579" spans="1:3" x14ac:dyDescent="0.35">
      <c r="A579" t="s">
        <v>585</v>
      </c>
    </row>
    <row r="580" spans="1:3" x14ac:dyDescent="0.35">
      <c r="A580" t="s">
        <v>588</v>
      </c>
    </row>
    <row r="582" spans="1:3" x14ac:dyDescent="0.35">
      <c r="A582" t="s">
        <v>713</v>
      </c>
    </row>
    <row r="583" spans="1:3" x14ac:dyDescent="0.35">
      <c r="A583" s="1" t="s">
        <v>587</v>
      </c>
    </row>
    <row r="585" spans="1:3" x14ac:dyDescent="0.35">
      <c r="A585" t="s">
        <v>590</v>
      </c>
    </row>
    <row r="586" spans="1:3" x14ac:dyDescent="0.35">
      <c r="A586" t="s">
        <v>591</v>
      </c>
    </row>
    <row r="587" spans="1:3" x14ac:dyDescent="0.35">
      <c r="A587" t="s">
        <v>589</v>
      </c>
    </row>
    <row r="588" spans="1:3" x14ac:dyDescent="0.35">
      <c r="A588" t="s">
        <v>592</v>
      </c>
    </row>
    <row r="589" spans="1:3" x14ac:dyDescent="0.35">
      <c r="A589" t="s">
        <v>593</v>
      </c>
    </row>
    <row r="591" spans="1:3" s="5" customFormat="1" ht="18.5" x14ac:dyDescent="0.45">
      <c r="A591" s="125" t="s">
        <v>594</v>
      </c>
      <c r="B591" s="95"/>
      <c r="C591" s="474">
        <v>500000</v>
      </c>
    </row>
    <row r="595" spans="1:5" s="5" customFormat="1" ht="18.5" x14ac:dyDescent="0.45">
      <c r="A595" s="125" t="s">
        <v>647</v>
      </c>
      <c r="B595" s="125"/>
      <c r="C595" s="95"/>
      <c r="D595" s="95"/>
    </row>
    <row r="597" spans="1:5" x14ac:dyDescent="0.35">
      <c r="A597" s="44" t="s">
        <v>597</v>
      </c>
      <c r="B597" s="44"/>
    </row>
    <row r="598" spans="1:5" x14ac:dyDescent="0.35">
      <c r="A598" t="s">
        <v>160</v>
      </c>
    </row>
    <row r="599" spans="1:5" x14ac:dyDescent="0.35">
      <c r="A599" t="s">
        <v>1308</v>
      </c>
    </row>
    <row r="600" spans="1:5" x14ac:dyDescent="0.35">
      <c r="A600" t="s">
        <v>1309</v>
      </c>
    </row>
    <row r="601" spans="1:5" x14ac:dyDescent="0.35">
      <c r="A601" t="s">
        <v>598</v>
      </c>
    </row>
    <row r="602" spans="1:5" x14ac:dyDescent="0.35">
      <c r="A602" t="s">
        <v>708</v>
      </c>
    </row>
    <row r="603" spans="1:5" x14ac:dyDescent="0.35">
      <c r="A603" t="s">
        <v>707</v>
      </c>
    </row>
    <row r="604" spans="1:5" x14ac:dyDescent="0.35">
      <c r="A604" t="s">
        <v>712</v>
      </c>
    </row>
    <row r="605" spans="1:5" x14ac:dyDescent="0.35">
      <c r="A605" t="s">
        <v>706</v>
      </c>
    </row>
    <row r="607" spans="1:5" x14ac:dyDescent="0.35">
      <c r="A607" s="44" t="s">
        <v>599</v>
      </c>
      <c r="B607" s="44"/>
      <c r="C607" s="44"/>
      <c r="E607" s="122">
        <v>0</v>
      </c>
    </row>
    <row r="610" spans="1:5" x14ac:dyDescent="0.35">
      <c r="A610" s="44" t="s">
        <v>596</v>
      </c>
      <c r="B610" s="44"/>
    </row>
    <row r="611" spans="1:5" x14ac:dyDescent="0.35">
      <c r="A611" t="s">
        <v>160</v>
      </c>
    </row>
    <row r="612" spans="1:5" x14ac:dyDescent="0.35">
      <c r="A612" t="s">
        <v>600</v>
      </c>
    </row>
    <row r="613" spans="1:5" x14ac:dyDescent="0.35">
      <c r="A613" t="s">
        <v>601</v>
      </c>
    </row>
    <row r="614" spans="1:5" x14ac:dyDescent="0.35">
      <c r="A614" t="s">
        <v>708</v>
      </c>
    </row>
    <row r="615" spans="1:5" x14ac:dyDescent="0.35">
      <c r="A615" t="s">
        <v>714</v>
      </c>
    </row>
    <row r="616" spans="1:5" x14ac:dyDescent="0.35">
      <c r="A616" t="s">
        <v>706</v>
      </c>
    </row>
    <row r="618" spans="1:5" x14ac:dyDescent="0.35">
      <c r="A618" s="44" t="s">
        <v>604</v>
      </c>
      <c r="B618" s="44"/>
      <c r="C618" s="44"/>
      <c r="D618" s="44"/>
      <c r="E618" s="122">
        <v>0</v>
      </c>
    </row>
    <row r="621" spans="1:5" x14ac:dyDescent="0.35">
      <c r="A621" s="44" t="s">
        <v>595</v>
      </c>
      <c r="B621" s="44"/>
    </row>
    <row r="622" spans="1:5" x14ac:dyDescent="0.35">
      <c r="A622" t="s">
        <v>160</v>
      </c>
    </row>
    <row r="623" spans="1:5" x14ac:dyDescent="0.35">
      <c r="A623" t="s">
        <v>628</v>
      </c>
    </row>
    <row r="624" spans="1:5" x14ac:dyDescent="0.35">
      <c r="A624" t="s">
        <v>610</v>
      </c>
    </row>
    <row r="626" spans="1:5" x14ac:dyDescent="0.35">
      <c r="A626" t="s">
        <v>606</v>
      </c>
    </row>
    <row r="627" spans="1:5" x14ac:dyDescent="0.35">
      <c r="A627" t="s">
        <v>607</v>
      </c>
    </row>
    <row r="628" spans="1:5" x14ac:dyDescent="0.35">
      <c r="A628" t="s">
        <v>608</v>
      </c>
    </row>
    <row r="630" spans="1:5" x14ac:dyDescent="0.35">
      <c r="A630" t="s">
        <v>602</v>
      </c>
    </row>
    <row r="631" spans="1:5" x14ac:dyDescent="0.35">
      <c r="A631" t="s">
        <v>611</v>
      </c>
    </row>
    <row r="632" spans="1:5" x14ac:dyDescent="0.35">
      <c r="A632" t="s">
        <v>609</v>
      </c>
    </row>
    <row r="633" spans="1:5" x14ac:dyDescent="0.35">
      <c r="A633" t="s">
        <v>603</v>
      </c>
      <c r="B633" s="59">
        <f>(16000*2)+1000+(10000*2)</f>
        <v>53000</v>
      </c>
    </row>
    <row r="635" spans="1:5" x14ac:dyDescent="0.35">
      <c r="A635" t="s">
        <v>708</v>
      </c>
      <c r="B635" s="59"/>
    </row>
    <row r="636" spans="1:5" x14ac:dyDescent="0.35">
      <c r="A636" t="s">
        <v>714</v>
      </c>
      <c r="B636" s="59"/>
    </row>
    <row r="637" spans="1:5" x14ac:dyDescent="0.35">
      <c r="A637" t="s">
        <v>706</v>
      </c>
      <c r="B637" s="59"/>
    </row>
    <row r="639" spans="1:5" x14ac:dyDescent="0.35">
      <c r="A639" s="44" t="s">
        <v>605</v>
      </c>
      <c r="B639" s="44"/>
      <c r="C639" s="44"/>
      <c r="D639" s="44"/>
      <c r="E639" s="122">
        <v>0</v>
      </c>
    </row>
    <row r="642" spans="1:6" x14ac:dyDescent="0.35">
      <c r="A642" s="44" t="s">
        <v>625</v>
      </c>
      <c r="B642" s="44"/>
      <c r="C642" s="44"/>
      <c r="D642" s="44"/>
    </row>
    <row r="643" spans="1:6" x14ac:dyDescent="0.35">
      <c r="A643" t="s">
        <v>160</v>
      </c>
    </row>
    <row r="644" spans="1:6" x14ac:dyDescent="0.35">
      <c r="A644" t="s">
        <v>503</v>
      </c>
    </row>
    <row r="645" spans="1:6" x14ac:dyDescent="0.35">
      <c r="A645" t="s">
        <v>504</v>
      </c>
    </row>
    <row r="646" spans="1:6" x14ac:dyDescent="0.35">
      <c r="A646" t="s">
        <v>624</v>
      </c>
    </row>
    <row r="647" spans="1:6" x14ac:dyDescent="0.35">
      <c r="A647" t="s">
        <v>626</v>
      </c>
    </row>
    <row r="649" spans="1:6" x14ac:dyDescent="0.35">
      <c r="A649" s="44" t="s">
        <v>627</v>
      </c>
      <c r="B649" s="44"/>
      <c r="C649" s="44"/>
      <c r="D649" s="44"/>
      <c r="E649" s="44"/>
      <c r="F649" s="122">
        <v>25000</v>
      </c>
    </row>
    <row r="652" spans="1:6" s="5" customFormat="1" ht="18.5" x14ac:dyDescent="0.45">
      <c r="A652" s="125" t="s">
        <v>648</v>
      </c>
      <c r="B652" s="95"/>
      <c r="C652" s="95"/>
      <c r="D652" s="95"/>
      <c r="E652" s="345">
        <f>F649+E639+E618+E607</f>
        <v>25000</v>
      </c>
    </row>
    <row r="655" spans="1:6" s="5" customFormat="1" ht="18.5" x14ac:dyDescent="0.45">
      <c r="A655" s="125" t="s">
        <v>692</v>
      </c>
      <c r="B655" s="125"/>
      <c r="C655" s="125"/>
      <c r="D655" s="125"/>
      <c r="E655" s="345">
        <f>D203</f>
        <v>334866</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Summary</vt:lpstr>
      <vt:lpstr>References</vt:lpstr>
      <vt:lpstr>Inputs</vt:lpstr>
      <vt:lpstr>Rates 2020</vt:lpstr>
      <vt:lpstr>ITEM 1 YDTI Embankment Closure</vt:lpstr>
      <vt:lpstr>ITEM 2 YDTI Beach Closure</vt:lpstr>
      <vt:lpstr>ITEM 3 Exploration</vt:lpstr>
      <vt:lpstr>ITEM 4 WED Water Treatment</vt:lpstr>
      <vt:lpstr>ITEM 5 Post Closure Reclamation</vt:lpstr>
      <vt:lpstr>ITEM 6 Interim Management</vt:lpstr>
      <vt:lpstr>ITEM 7 A&amp;E-ClosureMgmt</vt:lpstr>
      <vt:lpstr>ITEM 8 A&amp;E-PostClosureMgmt</vt:lpstr>
      <vt:lpstr>ITEM 9 Dump Areas</vt:lpstr>
      <vt:lpstr>ITEM 10 Leach Pads</vt:lpstr>
      <vt:lpstr>ITEM 11 Pit</vt:lpstr>
      <vt:lpstr>ITEM 12 Pre-Law Areas</vt:lpstr>
      <vt:lpstr>ITEM 13 Miscellaneous</vt:lpstr>
      <vt:lpstr>ITEM 14 Clearwater Ditch</vt:lpstr>
      <vt:lpstr>ITEM 15 Spillway</vt:lpstr>
      <vt:lpstr>'Rates 2020'!Print_Area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Freshman, Charles</dc:creator>
  <cp:lastModifiedBy>Devin Clary</cp:lastModifiedBy>
  <cp:lastPrinted>2020-02-12T18:29:55Z</cp:lastPrinted>
  <dcterms:created xsi:type="dcterms:W3CDTF">2019-08-15T16:34:42Z</dcterms:created>
  <dcterms:modified xsi:type="dcterms:W3CDTF">2024-11-22T17:12:07Z</dcterms:modified>
</cp:coreProperties>
</file>